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rswt.sharepoint.com/sites/iucnteam/Shared Documents/Peatland Programme/06 Peatland Code/6.1 Resources and Publ/6.1.1 Peatland Code/6.1.1.8 Version 2.1/"/>
    </mc:Choice>
  </mc:AlternateContent>
  <xr:revisionPtr revIDLastSave="33" documentId="8_{3AFD3DA9-B881-459A-9C11-D7EA780E4845}" xr6:coauthVersionLast="47" xr6:coauthVersionMax="47" xr10:uidLastSave="{5D399B89-2A17-4E17-BBEA-AA7634BA0B4E}"/>
  <workbookProtection workbookAlgorithmName="SHA-512" workbookHashValue="WAEx0jjd69Nek50Un3CwufEklXBN+jenQe1Gd9kRDywuZGzh2TucqyRCQKuPd42cceiN5WljpTI254DTm2oXRQ==" workbookSaltValue="7RtgXti6nS09HLDxkAvJPQ==" workbookSpinCount="100000" lockStructure="1"/>
  <bookViews>
    <workbookView xWindow="-120" yWindow="-120" windowWidth="29040" windowHeight="15840" activeTab="3" xr2:uid="{00000000-000D-0000-FFFF-FFFF00000000}"/>
  </bookViews>
  <sheets>
    <sheet name="Welcome" sheetId="38" r:id="rId1"/>
    <sheet name="User Guide" sheetId="35" r:id="rId2"/>
    <sheet name="Calculator" sheetId="17" r:id="rId3"/>
    <sheet name="Project Summary" sheetId="39" r:id="rId4"/>
    <sheet name="Contents" sheetId="41" state="hidden" r:id="rId5"/>
    <sheet name="Version Control" sheetId="36" state="hidden" r:id="rId6"/>
    <sheet name="EF Adjustment Table" sheetId="1" state="hidden" r:id="rId7"/>
    <sheet name="Category Reference Values" sheetId="18" state="hidden" r:id="rId8"/>
    <sheet name="GWP reference values" sheetId="32" state="hidden" r:id="rId9"/>
    <sheet name="Transition Period Calculations" sheetId="37" state="hidden" r:id="rId10"/>
    <sheet name="Vintage 1 Calculations" sheetId="40" state="hidden" r:id="rId11"/>
    <sheet name="Model Summary" sheetId="33" state="hidden" r:id="rId12"/>
    <sheet name="Near-natural Bog" sheetId="19" state="hidden" r:id="rId13"/>
    <sheet name="Near-natural Fen" sheetId="20" state="hidden" r:id="rId14"/>
    <sheet name="Re-wetted Bog" sheetId="21" state="hidden" r:id="rId15"/>
    <sheet name="Re-wetted Fen" sheetId="22" state="hidden" r:id="rId16"/>
    <sheet name="Modified Bog (Vegetated)" sheetId="24" state="hidden" r:id="rId17"/>
    <sheet name="Modified Bog (Eroding area)" sheetId="25" state="hidden" r:id="rId18"/>
    <sheet name="Modified Fen" sheetId="34" state="hidden" r:id="rId19"/>
    <sheet name="Woodland" sheetId="28" state="hidden" r:id="rId20"/>
    <sheet name="Extracted (Domestic)" sheetId="26" state="hidden" r:id="rId21"/>
    <sheet name="Extracted (Industrial)" sheetId="27" state="hidden" r:id="rId22"/>
    <sheet name="Grassland (Extensive)" sheetId="29" state="hidden" r:id="rId23"/>
    <sheet name="Grassland - (Intensive)" sheetId="30" state="hidden" r:id="rId24"/>
    <sheet name="Cropland" sheetId="31" state="hidden" r:id="rId25"/>
    <sheet name="Table 3.1" sheetId="15" state="hidden" r:id="rId26"/>
    <sheet name="Table 3.2" sheetId="16" state="hidden" r:id="rId2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39" l="1"/>
  <c r="F22" i="39" l="1"/>
  <c r="F21" i="39"/>
  <c r="F20" i="39"/>
  <c r="BO53" i="17"/>
  <c r="CU53" i="17"/>
  <c r="EA53" i="17"/>
  <c r="EH43" i="17"/>
  <c r="EH44" i="17" s="1"/>
  <c r="T9" i="37" s="1"/>
  <c r="EH42" i="17"/>
  <c r="EH31" i="17"/>
  <c r="DB43" i="17"/>
  <c r="DB44" i="17" s="1"/>
  <c r="P9" i="37" s="1"/>
  <c r="DB42" i="17"/>
  <c r="DB31" i="17"/>
  <c r="DO31" i="17" s="1"/>
  <c r="DB30" i="17"/>
  <c r="BV43" i="17"/>
  <c r="BV42" i="17"/>
  <c r="BV31" i="17"/>
  <c r="BV30" i="17"/>
  <c r="AP43" i="17"/>
  <c r="AP44" i="17" s="1"/>
  <c r="AP31" i="17"/>
  <c r="AP32" i="17" s="1"/>
  <c r="BC32" i="17" s="1"/>
  <c r="AP30" i="17"/>
  <c r="J31" i="17"/>
  <c r="E16" i="39"/>
  <c r="E15" i="39"/>
  <c r="E14" i="39"/>
  <c r="E13" i="39"/>
  <c r="E12" i="39"/>
  <c r="D16" i="39"/>
  <c r="D15" i="39"/>
  <c r="D14" i="39"/>
  <c r="D13" i="39"/>
  <c r="D12" i="39"/>
  <c r="C16" i="39"/>
  <c r="C15" i="39"/>
  <c r="C14" i="39"/>
  <c r="C13" i="39"/>
  <c r="C12" i="39"/>
  <c r="C58" i="17"/>
  <c r="B22" i="39"/>
  <c r="B21" i="39"/>
  <c r="B20" i="39"/>
  <c r="B23" i="39"/>
  <c r="D7" i="39"/>
  <c r="C20" i="39" s="1"/>
  <c r="ET87" i="17"/>
  <c r="DN87" i="17"/>
  <c r="CH87" i="17"/>
  <c r="ES24" i="17"/>
  <c r="DM24" i="17"/>
  <c r="CG24" i="17"/>
  <c r="BA24" i="17"/>
  <c r="EW82" i="17"/>
  <c r="EK82" i="17"/>
  <c r="EW76" i="17"/>
  <c r="EK75" i="17"/>
  <c r="EW73" i="17"/>
  <c r="EK73" i="17"/>
  <c r="EW67" i="17"/>
  <c r="EK67" i="17"/>
  <c r="ET63" i="17"/>
  <c r="EA60" i="17"/>
  <c r="EA58" i="17"/>
  <c r="EA59" i="17" s="1"/>
  <c r="EA57" i="17"/>
  <c r="EA54" i="17"/>
  <c r="ET51" i="17"/>
  <c r="EH45" i="17"/>
  <c r="EC43" i="17"/>
  <c r="EC42" i="17"/>
  <c r="EH41" i="17"/>
  <c r="ET39" i="17"/>
  <c r="EH33" i="17"/>
  <c r="EU33" i="17" s="1"/>
  <c r="EU31" i="17"/>
  <c r="EC31" i="17"/>
  <c r="EC30" i="17"/>
  <c r="EH29" i="17"/>
  <c r="EH30" i="17" s="1"/>
  <c r="ET27" i="17"/>
  <c r="DQ82" i="17"/>
  <c r="DE82" i="17"/>
  <c r="DQ76" i="17"/>
  <c r="DE75" i="17"/>
  <c r="DQ73" i="17"/>
  <c r="DE73" i="17"/>
  <c r="DQ67" i="17"/>
  <c r="DE67" i="17"/>
  <c r="DN63" i="17"/>
  <c r="CU60" i="17"/>
  <c r="CU58" i="17"/>
  <c r="CU59" i="17" s="1"/>
  <c r="CU57" i="17"/>
  <c r="CU55" i="17"/>
  <c r="CU54" i="17"/>
  <c r="DN51" i="17"/>
  <c r="DB45" i="17"/>
  <c r="CW43" i="17"/>
  <c r="CW42" i="17"/>
  <c r="DB41" i="17"/>
  <c r="DO41" i="17" s="1"/>
  <c r="DN39" i="17"/>
  <c r="DB33" i="17"/>
  <c r="DO33" i="17" s="1"/>
  <c r="CW31" i="17"/>
  <c r="CW30" i="17"/>
  <c r="DB29" i="17"/>
  <c r="DN27" i="17"/>
  <c r="CK82" i="17"/>
  <c r="BY82" i="17"/>
  <c r="CK76" i="17"/>
  <c r="BY75" i="17"/>
  <c r="CK73" i="17"/>
  <c r="BY73" i="17"/>
  <c r="CK67" i="17"/>
  <c r="BY67" i="17"/>
  <c r="CH63" i="17"/>
  <c r="BO60" i="17"/>
  <c r="BO58" i="17"/>
  <c r="BO59" i="17" s="1"/>
  <c r="BO57" i="17"/>
  <c r="BO54" i="17"/>
  <c r="CH51" i="17"/>
  <c r="BV45" i="17"/>
  <c r="CI45" i="17" s="1"/>
  <c r="CI43" i="17"/>
  <c r="BQ43" i="17"/>
  <c r="BQ42" i="17"/>
  <c r="BV41" i="17"/>
  <c r="CH39" i="17"/>
  <c r="BV33" i="17"/>
  <c r="BV34" i="17" s="1"/>
  <c r="CI31" i="17"/>
  <c r="BQ31" i="17"/>
  <c r="BQ30" i="17"/>
  <c r="BO55" i="17" s="1"/>
  <c r="BV29" i="17"/>
  <c r="CH27" i="17"/>
  <c r="BB87" i="17"/>
  <c r="BB63" i="17"/>
  <c r="BB51" i="17"/>
  <c r="BB39" i="17"/>
  <c r="BB27" i="17"/>
  <c r="AP45" i="17"/>
  <c r="BC45" i="17" s="1"/>
  <c r="AP33" i="17"/>
  <c r="AP34" i="17" s="1"/>
  <c r="BC34" i="17" s="1"/>
  <c r="BE82" i="17"/>
  <c r="AS82" i="17"/>
  <c r="BE76" i="17"/>
  <c r="AS75" i="17"/>
  <c r="BE73" i="17"/>
  <c r="AS73" i="17"/>
  <c r="BE67" i="17"/>
  <c r="AS67" i="17"/>
  <c r="AP41" i="17"/>
  <c r="AP29" i="17"/>
  <c r="AI60" i="17"/>
  <c r="C60" i="17"/>
  <c r="AI58" i="17"/>
  <c r="AI59" i="17" s="1"/>
  <c r="AI57" i="17"/>
  <c r="AI54" i="17"/>
  <c r="AI53" i="17"/>
  <c r="AK43" i="17"/>
  <c r="AK42" i="17"/>
  <c r="AK31" i="17"/>
  <c r="AK30" i="17"/>
  <c r="C53" i="17"/>
  <c r="E43" i="17"/>
  <c r="E42" i="17"/>
  <c r="J45" i="17"/>
  <c r="J43" i="17"/>
  <c r="E31" i="17"/>
  <c r="E30" i="17"/>
  <c r="J33" i="17"/>
  <c r="V87" i="17"/>
  <c r="V63" i="17"/>
  <c r="V51" i="17"/>
  <c r="V39" i="17"/>
  <c r="U24" i="17"/>
  <c r="V27" i="17"/>
  <c r="AP42" i="17" l="1"/>
  <c r="H8" i="37" s="1"/>
  <c r="BC30" i="17"/>
  <c r="EA55" i="17"/>
  <c r="BV53" i="17"/>
  <c r="DR76" i="17"/>
  <c r="CI33" i="17"/>
  <c r="BC41" i="17"/>
  <c r="BC29" i="17"/>
  <c r="AP53" i="17"/>
  <c r="AP91" i="17"/>
  <c r="BC91" i="17" s="1"/>
  <c r="AP92" i="17"/>
  <c r="BC92" i="17" s="1"/>
  <c r="BO56" i="17"/>
  <c r="BV32" i="17"/>
  <c r="CI32" i="17" s="1"/>
  <c r="CI34" i="17"/>
  <c r="L6" i="37"/>
  <c r="CU56" i="17"/>
  <c r="DB32" i="17"/>
  <c r="DO32" i="17" s="1"/>
  <c r="DB34" i="17"/>
  <c r="EX67" i="17"/>
  <c r="EX76" i="17"/>
  <c r="DB55" i="17"/>
  <c r="DR67" i="17"/>
  <c r="CL67" i="17"/>
  <c r="CL76" i="17"/>
  <c r="BZ67" i="17"/>
  <c r="BV44" i="17"/>
  <c r="BV55" i="17"/>
  <c r="AP46" i="17"/>
  <c r="H7" i="37" s="1"/>
  <c r="AI56" i="17"/>
  <c r="BC43" i="17"/>
  <c r="H9" i="37"/>
  <c r="BC44" i="17"/>
  <c r="BC56" i="17" s="1"/>
  <c r="AU91" i="17"/>
  <c r="BH91" i="17" s="1"/>
  <c r="AT67" i="17"/>
  <c r="BF67" i="17"/>
  <c r="EH53" i="17"/>
  <c r="EA56" i="17"/>
  <c r="E17" i="39"/>
  <c r="EH55" i="17"/>
  <c r="EH34" i="17"/>
  <c r="T6" i="37" s="1"/>
  <c r="D20" i="39"/>
  <c r="C21" i="39" s="1"/>
  <c r="D21" i="39" s="1"/>
  <c r="C22" i="39" s="1"/>
  <c r="D22" i="39" s="1"/>
  <c r="C23" i="39" s="1"/>
  <c r="D23" i="39" s="1"/>
  <c r="B29" i="39"/>
  <c r="B30" i="39"/>
  <c r="B26" i="39"/>
  <c r="B27" i="39"/>
  <c r="B25" i="39"/>
  <c r="B28" i="39"/>
  <c r="B24" i="39"/>
  <c r="EU44" i="17"/>
  <c r="EM91" i="17"/>
  <c r="EZ91" i="17" s="1"/>
  <c r="EU30" i="17"/>
  <c r="EH90" i="17"/>
  <c r="EU90" i="17" s="1"/>
  <c r="EH46" i="17"/>
  <c r="T7" i="37" s="1"/>
  <c r="EU29" i="17"/>
  <c r="EU45" i="17"/>
  <c r="EU57" i="17" s="1"/>
  <c r="EH57" i="17"/>
  <c r="EU41" i="17"/>
  <c r="EH32" i="17"/>
  <c r="EH56" i="17" s="1"/>
  <c r="EU43" i="17"/>
  <c r="EU55" i="17" s="1"/>
  <c r="T8" i="37"/>
  <c r="DG91" i="17"/>
  <c r="DT91" i="17" s="1"/>
  <c r="DO44" i="17"/>
  <c r="DO30" i="17"/>
  <c r="DB90" i="17"/>
  <c r="DO90" i="17" s="1"/>
  <c r="DO29" i="17"/>
  <c r="DO53" i="17" s="1"/>
  <c r="P8" i="37"/>
  <c r="DB53" i="17"/>
  <c r="DO45" i="17"/>
  <c r="DO57" i="17" s="1"/>
  <c r="DB46" i="17"/>
  <c r="P7" i="37" s="1"/>
  <c r="DB57" i="17"/>
  <c r="DO43" i="17"/>
  <c r="DO55" i="17" s="1"/>
  <c r="BV90" i="17"/>
  <c r="CI90" i="17" s="1"/>
  <c r="CI30" i="17"/>
  <c r="CI55" i="17"/>
  <c r="CI57" i="17"/>
  <c r="BV46" i="17"/>
  <c r="L7" i="37" s="1"/>
  <c r="L14" i="37" s="1"/>
  <c r="BV68" i="17" s="1"/>
  <c r="CI29" i="17"/>
  <c r="BV57" i="17"/>
  <c r="CI41" i="17"/>
  <c r="CI53" i="17" s="1"/>
  <c r="L8" i="37"/>
  <c r="BV92" i="17"/>
  <c r="CI92" i="17" s="1"/>
  <c r="BV91" i="17"/>
  <c r="CI91" i="17" s="1"/>
  <c r="BC33" i="17"/>
  <c r="BC57" i="17" s="1"/>
  <c r="AP90" i="17"/>
  <c r="BC90" i="17" s="1"/>
  <c r="BC31" i="17"/>
  <c r="AI55" i="17"/>
  <c r="H6" i="37"/>
  <c r="AP56" i="17"/>
  <c r="AP36" i="17"/>
  <c r="AT75" i="17" s="1"/>
  <c r="AP57" i="17"/>
  <c r="AP55" i="17"/>
  <c r="AP35" i="17"/>
  <c r="BC35" i="17" s="1"/>
  <c r="AU90" i="17" l="1"/>
  <c r="BH90" i="17" s="1"/>
  <c r="AP48" i="17"/>
  <c r="BC48" i="17" s="1"/>
  <c r="BF82" i="17" s="1"/>
  <c r="AP47" i="17"/>
  <c r="BC47" i="17" s="1"/>
  <c r="BC59" i="17" s="1"/>
  <c r="AP54" i="17"/>
  <c r="BC42" i="17"/>
  <c r="BC54" i="17" s="1"/>
  <c r="BV36" i="17"/>
  <c r="BZ75" i="17" s="1"/>
  <c r="BV35" i="17"/>
  <c r="CI35" i="17" s="1"/>
  <c r="BC55" i="17"/>
  <c r="BC53" i="17"/>
  <c r="BC46" i="17"/>
  <c r="BC58" i="17" s="1"/>
  <c r="AT73" i="17"/>
  <c r="AP58" i="17"/>
  <c r="H14" i="37"/>
  <c r="H23" i="37" s="1"/>
  <c r="AP77" i="17" s="1"/>
  <c r="DB35" i="17"/>
  <c r="DO35" i="17" s="1"/>
  <c r="DB56" i="17"/>
  <c r="DB91" i="17"/>
  <c r="DO91" i="17" s="1"/>
  <c r="DB36" i="17"/>
  <c r="DF75" i="17" s="1"/>
  <c r="DO56" i="17"/>
  <c r="DO34" i="17"/>
  <c r="P6" i="37"/>
  <c r="P14" i="37" s="1"/>
  <c r="DF67" i="17"/>
  <c r="DB92" i="17"/>
  <c r="DO92" i="17" s="1"/>
  <c r="EL67" i="17"/>
  <c r="EL73" i="17"/>
  <c r="P23" i="37"/>
  <c r="Q23" i="37" s="1"/>
  <c r="DO77" i="17" s="1"/>
  <c r="DF73" i="17"/>
  <c r="DB68" i="17"/>
  <c r="CA91" i="17"/>
  <c r="CN91" i="17" s="1"/>
  <c r="BV56" i="17"/>
  <c r="L9" i="37"/>
  <c r="L23" i="37" s="1"/>
  <c r="CI44" i="17"/>
  <c r="CI56" i="17" s="1"/>
  <c r="BZ73" i="17"/>
  <c r="L15" i="37"/>
  <c r="M14" i="37"/>
  <c r="CI68" i="17" s="1"/>
  <c r="AP98" i="17"/>
  <c r="BC98" i="17" s="1"/>
  <c r="AT82" i="17"/>
  <c r="EU34" i="17"/>
  <c r="EH92" i="17"/>
  <c r="EU92" i="17" s="1"/>
  <c r="T14" i="37"/>
  <c r="T23" i="37" s="1"/>
  <c r="EH35" i="17"/>
  <c r="EU35" i="17" s="1"/>
  <c r="EH36" i="17"/>
  <c r="T15" i="37"/>
  <c r="U14" i="37"/>
  <c r="EU68" i="17" s="1"/>
  <c r="C24" i="39"/>
  <c r="D24" i="39" s="1"/>
  <c r="C25" i="39" s="1"/>
  <c r="D25" i="39" s="1"/>
  <c r="C26" i="39" s="1"/>
  <c r="D26" i="39" s="1"/>
  <c r="C27" i="39" s="1"/>
  <c r="D27" i="39" s="1"/>
  <c r="C28" i="39" s="1"/>
  <c r="D28" i="39" s="1"/>
  <c r="C29" i="39" s="1"/>
  <c r="D29" i="39" s="1"/>
  <c r="C30" i="39" s="1"/>
  <c r="D30" i="39" s="1"/>
  <c r="EH58" i="17"/>
  <c r="EU46" i="17"/>
  <c r="EX73" i="17" s="1"/>
  <c r="EM90" i="17"/>
  <c r="EZ90" i="17" s="1"/>
  <c r="EH48" i="17"/>
  <c r="EL82" i="17" s="1"/>
  <c r="EH54" i="17"/>
  <c r="EU42" i="17"/>
  <c r="EU54" i="17" s="1"/>
  <c r="EH47" i="17"/>
  <c r="EU32" i="17"/>
  <c r="EU56" i="17" s="1"/>
  <c r="EH91" i="17"/>
  <c r="EU91" i="17" s="1"/>
  <c r="EU53" i="17"/>
  <c r="DO46" i="17"/>
  <c r="DR73" i="17" s="1"/>
  <c r="DB58" i="17"/>
  <c r="DB54" i="17"/>
  <c r="DB48" i="17"/>
  <c r="DF82" i="17" s="1"/>
  <c r="DB47" i="17"/>
  <c r="DO42" i="17"/>
  <c r="DO54" i="17" s="1"/>
  <c r="DG90" i="17"/>
  <c r="DT90" i="17" s="1"/>
  <c r="CI46" i="17"/>
  <c r="CL73" i="17" s="1"/>
  <c r="BV58" i="17"/>
  <c r="CI36" i="17"/>
  <c r="E7" i="40" s="1"/>
  <c r="BV93" i="17"/>
  <c r="CI93" i="17" s="1"/>
  <c r="BV54" i="17"/>
  <c r="CI42" i="17"/>
  <c r="CI54" i="17" s="1"/>
  <c r="CA90" i="17"/>
  <c r="CN90" i="17" s="1"/>
  <c r="BV48" i="17"/>
  <c r="BZ82" i="17" s="1"/>
  <c r="BV47" i="17"/>
  <c r="BC36" i="17"/>
  <c r="AP93" i="17"/>
  <c r="BC93" i="17" s="1"/>
  <c r="AP60" i="17"/>
  <c r="AP97" i="17" l="1"/>
  <c r="BC97" i="17" s="1"/>
  <c r="AP59" i="17"/>
  <c r="EH68" i="17"/>
  <c r="I14" i="37"/>
  <c r="BC68" i="17" s="1"/>
  <c r="Q14" i="37"/>
  <c r="DO68" i="17" s="1"/>
  <c r="P15" i="37"/>
  <c r="P24" i="37" s="1"/>
  <c r="Q24" i="37" s="1"/>
  <c r="DO78" i="17" s="1"/>
  <c r="DB98" i="17"/>
  <c r="DO98" i="17" s="1"/>
  <c r="DO36" i="17"/>
  <c r="E8" i="40" s="1"/>
  <c r="DB93" i="17"/>
  <c r="DO93" i="17" s="1"/>
  <c r="L24" i="37"/>
  <c r="M24" i="37" s="1"/>
  <c r="CI78" i="17" s="1"/>
  <c r="E6" i="40"/>
  <c r="BF76" i="17"/>
  <c r="BF73" i="17"/>
  <c r="H15" i="37"/>
  <c r="I15" i="37" s="1"/>
  <c r="BC69" i="17" s="1"/>
  <c r="AP68" i="17"/>
  <c r="BV98" i="17"/>
  <c r="CI98" i="17" s="1"/>
  <c r="EH93" i="17"/>
  <c r="EU93" i="17" s="1"/>
  <c r="EL75" i="17"/>
  <c r="DB77" i="17"/>
  <c r="P16" i="37"/>
  <c r="P25" i="37" s="1"/>
  <c r="Q25" i="37" s="1"/>
  <c r="DO79" i="17" s="1"/>
  <c r="DB69" i="17"/>
  <c r="DB79" i="17"/>
  <c r="M15" i="37"/>
  <c r="CI69" i="17" s="1"/>
  <c r="BV69" i="17"/>
  <c r="L16" i="37"/>
  <c r="L25" i="37" s="1"/>
  <c r="BV79" i="17" s="1"/>
  <c r="BV77" i="17"/>
  <c r="M23" i="37"/>
  <c r="CI77" i="17" s="1"/>
  <c r="EU36" i="17"/>
  <c r="E9" i="40" s="1"/>
  <c r="U23" i="37"/>
  <c r="EU77" i="17" s="1"/>
  <c r="EH77" i="17"/>
  <c r="T16" i="37"/>
  <c r="U15" i="37"/>
  <c r="EU69" i="17" s="1"/>
  <c r="EH69" i="17"/>
  <c r="T24" i="37"/>
  <c r="EU58" i="17"/>
  <c r="EH59" i="17"/>
  <c r="EU47" i="17"/>
  <c r="EU59" i="17" s="1"/>
  <c r="EH97" i="17"/>
  <c r="EU97" i="17" s="1"/>
  <c r="EU48" i="17"/>
  <c r="EX82" i="17" s="1"/>
  <c r="EH60" i="17"/>
  <c r="EH98" i="17"/>
  <c r="EU98" i="17" s="1"/>
  <c r="DB59" i="17"/>
  <c r="DO47" i="17"/>
  <c r="DO59" i="17" s="1"/>
  <c r="DO48" i="17"/>
  <c r="DR82" i="17" s="1"/>
  <c r="DB60" i="17"/>
  <c r="DO58" i="17"/>
  <c r="DB97" i="17"/>
  <c r="DO97" i="17" s="1"/>
  <c r="BV59" i="17"/>
  <c r="CI47" i="17"/>
  <c r="CI59" i="17" s="1"/>
  <c r="CI48" i="17"/>
  <c r="CL82" i="17" s="1"/>
  <c r="BV60" i="17"/>
  <c r="BV97" i="17"/>
  <c r="CI97" i="17" s="1"/>
  <c r="CI58" i="17"/>
  <c r="BC60" i="17"/>
  <c r="I23" i="37"/>
  <c r="BC77" i="17" s="1"/>
  <c r="Q15" i="37" l="1"/>
  <c r="DO69" i="17" s="1"/>
  <c r="DB78" i="17"/>
  <c r="BV78" i="17"/>
  <c r="H16" i="37"/>
  <c r="I16" i="37" s="1"/>
  <c r="BC70" i="17" s="1"/>
  <c r="AP69" i="17"/>
  <c r="H24" i="37"/>
  <c r="AP78" i="17" s="1"/>
  <c r="DO60" i="17"/>
  <c r="Q16" i="37"/>
  <c r="DO70" i="17" s="1"/>
  <c r="DB70" i="17"/>
  <c r="P17" i="37"/>
  <c r="P26" i="37" s="1"/>
  <c r="Q26" i="37" s="1"/>
  <c r="DO80" i="17" s="1"/>
  <c r="M25" i="37"/>
  <c r="CI79" i="17" s="1"/>
  <c r="M16" i="37"/>
  <c r="CI70" i="17" s="1"/>
  <c r="BV70" i="17"/>
  <c r="L17" i="37"/>
  <c r="L26" i="37" s="1"/>
  <c r="U24" i="37"/>
  <c r="EU78" i="17" s="1"/>
  <c r="EH78" i="17"/>
  <c r="T17" i="37"/>
  <c r="U16" i="37"/>
  <c r="EU70" i="17" s="1"/>
  <c r="EH70" i="17"/>
  <c r="T25" i="37"/>
  <c r="EU60" i="17"/>
  <c r="CI60" i="17"/>
  <c r="I24" i="37" l="1"/>
  <c r="BC78" i="17" s="1"/>
  <c r="H25" i="37"/>
  <c r="AP79" i="17" s="1"/>
  <c r="H17" i="37"/>
  <c r="I17" i="37" s="1"/>
  <c r="BC71" i="17" s="1"/>
  <c r="AP70" i="17"/>
  <c r="DB80" i="17"/>
  <c r="Q17" i="37"/>
  <c r="DO71" i="17" s="1"/>
  <c r="DB71" i="17"/>
  <c r="P18" i="37"/>
  <c r="P27" i="37" s="1"/>
  <c r="Q27" i="37" s="1"/>
  <c r="DO81" i="17" s="1"/>
  <c r="D8" i="40" s="1"/>
  <c r="F8" i="40" s="1"/>
  <c r="BV80" i="17"/>
  <c r="M26" i="37"/>
  <c r="CI80" i="17" s="1"/>
  <c r="M17" i="37"/>
  <c r="CI71" i="17" s="1"/>
  <c r="BV71" i="17"/>
  <c r="L18" i="37"/>
  <c r="L27" i="37" s="1"/>
  <c r="T18" i="37"/>
  <c r="U17" i="37"/>
  <c r="EU71" i="17" s="1"/>
  <c r="EH71" i="17"/>
  <c r="T26" i="37"/>
  <c r="U25" i="37"/>
  <c r="EU79" i="17" s="1"/>
  <c r="EH79" i="17"/>
  <c r="I25" i="37" l="1"/>
  <c r="BC79" i="17" s="1"/>
  <c r="H26" i="37"/>
  <c r="AP80" i="17" s="1"/>
  <c r="H18" i="37"/>
  <c r="AP71" i="17"/>
  <c r="DB81" i="17"/>
  <c r="Q18" i="37"/>
  <c r="DO72" i="17" s="1"/>
  <c r="DB72" i="17"/>
  <c r="DG92" i="17" s="1"/>
  <c r="DG93" i="17" s="1"/>
  <c r="P19" i="37"/>
  <c r="Q19" i="37" s="1"/>
  <c r="BV81" i="17"/>
  <c r="M27" i="37"/>
  <c r="CI81" i="17" s="1"/>
  <c r="D7" i="40" s="1"/>
  <c r="F7" i="40" s="1"/>
  <c r="M18" i="37"/>
  <c r="CI72" i="17" s="1"/>
  <c r="BV72" i="17"/>
  <c r="CA92" i="17" s="1"/>
  <c r="CA93" i="17" s="1"/>
  <c r="L19" i="37"/>
  <c r="M19" i="37" s="1"/>
  <c r="U26" i="37"/>
  <c r="EU80" i="17" s="1"/>
  <c r="EH80" i="17"/>
  <c r="T19" i="37"/>
  <c r="U19" i="37" s="1"/>
  <c r="U18" i="37"/>
  <c r="EU72" i="17" s="1"/>
  <c r="EH72" i="17"/>
  <c r="EM92" i="17" s="1"/>
  <c r="EM93" i="17" s="1"/>
  <c r="T27" i="37"/>
  <c r="I18" i="37"/>
  <c r="BC72" i="17" s="1"/>
  <c r="I26" i="37" l="1"/>
  <c r="BC80" i="17" s="1"/>
  <c r="H27" i="37"/>
  <c r="AP81" i="17" s="1"/>
  <c r="H19" i="37"/>
  <c r="I19" i="37" s="1"/>
  <c r="AP72" i="17"/>
  <c r="AU92" i="17" s="1"/>
  <c r="BH92" i="17" s="1"/>
  <c r="DT93" i="17"/>
  <c r="DB100" i="17"/>
  <c r="DO100" i="17" s="1"/>
  <c r="F15" i="39" s="1"/>
  <c r="DT92" i="17"/>
  <c r="DB99" i="17"/>
  <c r="DO99" i="17" s="1"/>
  <c r="CN93" i="17"/>
  <c r="BV100" i="17"/>
  <c r="CI100" i="17" s="1"/>
  <c r="F14" i="39" s="1"/>
  <c r="CN92" i="17"/>
  <c r="BV99" i="17"/>
  <c r="CI99" i="17" s="1"/>
  <c r="EZ93" i="17"/>
  <c r="EH100" i="17"/>
  <c r="EU100" i="17" s="1"/>
  <c r="F16" i="39" s="1"/>
  <c r="EZ92" i="17"/>
  <c r="EH99" i="17"/>
  <c r="EU99" i="17" s="1"/>
  <c r="U27" i="37"/>
  <c r="EU81" i="17" s="1"/>
  <c r="D9" i="40" s="1"/>
  <c r="F9" i="40" s="1"/>
  <c r="EH81" i="17"/>
  <c r="AU93" i="17" l="1"/>
  <c r="BH93" i="17" s="1"/>
  <c r="I27" i="37"/>
  <c r="BC81" i="17" s="1"/>
  <c r="D6" i="40" s="1"/>
  <c r="F6" i="40" s="1"/>
  <c r="AP99" i="17"/>
  <c r="BC99" i="17" s="1"/>
  <c r="AP100" i="17" l="1"/>
  <c r="BC100" i="17" s="1"/>
  <c r="F13" i="39" s="1"/>
  <c r="C57" i="17"/>
  <c r="C59" i="17"/>
  <c r="C54" i="17"/>
  <c r="Y82" i="17"/>
  <c r="Y76" i="17"/>
  <c r="Y73" i="17"/>
  <c r="Y67" i="17"/>
  <c r="M82" i="17"/>
  <c r="M75" i="17"/>
  <c r="M73" i="17"/>
  <c r="M67" i="17"/>
  <c r="H8" i="1"/>
  <c r="D8" i="1" l="1"/>
  <c r="F8" i="1"/>
  <c r="G8" i="1"/>
  <c r="I8" i="1"/>
  <c r="J46" i="17"/>
  <c r="C5" i="16"/>
  <c r="C6" i="16"/>
  <c r="C7" i="16"/>
  <c r="C8" i="16"/>
  <c r="C9" i="16"/>
  <c r="C10" i="16"/>
  <c r="C11" i="16"/>
  <c r="C12" i="16"/>
  <c r="C13" i="16"/>
  <c r="C14" i="16"/>
  <c r="C15" i="16"/>
  <c r="C16" i="16"/>
  <c r="C17" i="16"/>
  <c r="C18" i="16"/>
  <c r="C19" i="16"/>
  <c r="C20" i="16"/>
  <c r="C21" i="16"/>
  <c r="C22" i="16"/>
  <c r="E8" i="15"/>
  <c r="E9" i="15"/>
  <c r="E11" i="15"/>
  <c r="E12" i="15"/>
  <c r="E13" i="15"/>
  <c r="E14" i="15"/>
  <c r="E15" i="15"/>
  <c r="C5" i="15"/>
  <c r="C6" i="15"/>
  <c r="C7" i="15"/>
  <c r="C8" i="15"/>
  <c r="C9" i="15"/>
  <c r="C11" i="15"/>
  <c r="C12" i="15"/>
  <c r="C13" i="15"/>
  <c r="C14" i="15"/>
  <c r="C15" i="15"/>
  <c r="F2" i="33"/>
  <c r="C55" i="17" l="1"/>
  <c r="C56" i="17"/>
  <c r="U53" i="33"/>
  <c r="U54" i="33"/>
  <c r="U55" i="33"/>
  <c r="U56" i="33"/>
  <c r="U57" i="33"/>
  <c r="U58" i="33"/>
  <c r="U59" i="33"/>
  <c r="U60" i="33"/>
  <c r="U61" i="33"/>
  <c r="U62" i="33"/>
  <c r="U63" i="33"/>
  <c r="U64" i="33"/>
  <c r="U65" i="33"/>
  <c r="U66" i="33"/>
  <c r="U67" i="33"/>
  <c r="U68" i="33"/>
  <c r="U69" i="33"/>
  <c r="U70" i="33"/>
  <c r="U71" i="33"/>
  <c r="U72" i="33"/>
  <c r="U73" i="33"/>
  <c r="U74" i="33"/>
  <c r="U75" i="33"/>
  <c r="U76" i="33"/>
  <c r="U77" i="33"/>
  <c r="U78" i="33"/>
  <c r="U79" i="33"/>
  <c r="U80" i="33"/>
  <c r="U81" i="33"/>
  <c r="U82" i="33"/>
  <c r="U83" i="33"/>
  <c r="U84" i="33"/>
  <c r="U85" i="33"/>
  <c r="U86" i="33"/>
  <c r="U87" i="33"/>
  <c r="U88" i="33"/>
  <c r="U89" i="33"/>
  <c r="U90" i="33"/>
  <c r="U91" i="33"/>
  <c r="U92" i="33"/>
  <c r="U93" i="33"/>
  <c r="U94" i="33"/>
  <c r="U95" i="33"/>
  <c r="U96" i="33"/>
  <c r="U97" i="33"/>
  <c r="U98" i="33"/>
  <c r="U99" i="33"/>
  <c r="U100" i="33"/>
  <c r="U101" i="33"/>
  <c r="U102" i="33"/>
  <c r="U103" i="33"/>
  <c r="U104" i="33"/>
  <c r="U105" i="33"/>
  <c r="U106" i="33"/>
  <c r="U107" i="33"/>
  <c r="U108" i="33"/>
  <c r="U109" i="33"/>
  <c r="U110" i="33"/>
  <c r="U111" i="33"/>
  <c r="U112" i="33"/>
  <c r="U113" i="33"/>
  <c r="U114" i="33"/>
  <c r="U115" i="33"/>
  <c r="U116" i="33"/>
  <c r="U117" i="33"/>
  <c r="U118" i="33"/>
  <c r="U119" i="33"/>
  <c r="U120" i="33"/>
  <c r="U121" i="33"/>
  <c r="U122" i="33"/>
  <c r="U123" i="33"/>
  <c r="U124" i="33"/>
  <c r="U125" i="33"/>
  <c r="U126" i="33"/>
  <c r="U127" i="33"/>
  <c r="U128" i="33"/>
  <c r="U129" i="33"/>
  <c r="U130" i="33"/>
  <c r="U131" i="33"/>
  <c r="U132" i="33"/>
  <c r="U133" i="33"/>
  <c r="U134" i="33"/>
  <c r="U135" i="33"/>
  <c r="U136" i="33"/>
  <c r="U137" i="33"/>
  <c r="U138" i="33"/>
  <c r="U139" i="33"/>
  <c r="U140" i="33"/>
  <c r="U141" i="33"/>
  <c r="U142" i="33"/>
  <c r="U143" i="33"/>
  <c r="U144" i="33"/>
  <c r="U145" i="33"/>
  <c r="U146" i="33"/>
  <c r="U147" i="33"/>
  <c r="U148" i="33"/>
  <c r="U149" i="33"/>
  <c r="U150" i="33"/>
  <c r="U151" i="33"/>
  <c r="U152" i="33"/>
  <c r="U153" i="33"/>
  <c r="U154" i="33"/>
  <c r="U155" i="33"/>
  <c r="U51" i="33"/>
  <c r="U52" i="33"/>
  <c r="U50" i="33"/>
  <c r="H33" i="33"/>
  <c r="I33" i="33"/>
  <c r="J33" i="33"/>
  <c r="K33" i="33"/>
  <c r="L33" i="33"/>
  <c r="I34" i="33"/>
  <c r="J34" i="33"/>
  <c r="K34" i="33"/>
  <c r="L34" i="33"/>
  <c r="E35" i="33"/>
  <c r="K35" i="33"/>
  <c r="L35" i="33"/>
  <c r="E36" i="33"/>
  <c r="F36" i="33"/>
  <c r="G36" i="33"/>
  <c r="E37" i="33"/>
  <c r="F37" i="33"/>
  <c r="G37" i="33"/>
  <c r="H37" i="33"/>
  <c r="E38" i="33"/>
  <c r="F38" i="33"/>
  <c r="G38" i="33"/>
  <c r="H38" i="33"/>
  <c r="D35" i="33"/>
  <c r="D36" i="33"/>
  <c r="D37" i="33"/>
  <c r="D38" i="33"/>
  <c r="H21" i="33"/>
  <c r="I21" i="33"/>
  <c r="J21" i="33"/>
  <c r="K21" i="33"/>
  <c r="L21" i="33"/>
  <c r="I22" i="33"/>
  <c r="J22" i="33"/>
  <c r="K22" i="33"/>
  <c r="L22" i="33"/>
  <c r="E23" i="33"/>
  <c r="K23" i="33"/>
  <c r="L23" i="33"/>
  <c r="E24" i="33"/>
  <c r="F24" i="33"/>
  <c r="G24" i="33"/>
  <c r="E25" i="33"/>
  <c r="F25" i="33"/>
  <c r="G25" i="33"/>
  <c r="H25" i="33"/>
  <c r="E26" i="33"/>
  <c r="F26" i="33"/>
  <c r="G26" i="33"/>
  <c r="H26" i="33"/>
  <c r="D23" i="33"/>
  <c r="D24" i="33"/>
  <c r="D25" i="33"/>
  <c r="D26" i="33"/>
  <c r="F10" i="33"/>
  <c r="D8" i="19"/>
  <c r="W45" i="17"/>
  <c r="W33" i="17"/>
  <c r="F8" i="18"/>
  <c r="E14" i="1"/>
  <c r="J52" i="34"/>
  <c r="D52" i="34"/>
  <c r="E52" i="34" s="1"/>
  <c r="J51" i="34"/>
  <c r="D51" i="34"/>
  <c r="E51" i="34" s="1"/>
  <c r="J50" i="34"/>
  <c r="D50" i="34"/>
  <c r="E50" i="34" s="1"/>
  <c r="J49" i="34"/>
  <c r="D49" i="34"/>
  <c r="E49" i="34" s="1"/>
  <c r="J48" i="34"/>
  <c r="D48" i="34"/>
  <c r="E48" i="34" s="1"/>
  <c r="J47" i="34"/>
  <c r="D47" i="34"/>
  <c r="E47" i="34" s="1"/>
  <c r="J46" i="34"/>
  <c r="D46" i="34"/>
  <c r="E46" i="34" s="1"/>
  <c r="J45" i="34"/>
  <c r="D45" i="34"/>
  <c r="E45" i="34" s="1"/>
  <c r="J44" i="34"/>
  <c r="D44" i="34"/>
  <c r="E44" i="34" s="1"/>
  <c r="J43" i="34"/>
  <c r="D43" i="34"/>
  <c r="E43" i="34" s="1"/>
  <c r="J42" i="34"/>
  <c r="D42" i="34"/>
  <c r="E42" i="34" s="1"/>
  <c r="J41" i="34"/>
  <c r="D41" i="34"/>
  <c r="E41" i="34" s="1"/>
  <c r="J40" i="34"/>
  <c r="D40" i="34"/>
  <c r="E40" i="34" s="1"/>
  <c r="J39" i="34"/>
  <c r="D39" i="34"/>
  <c r="E39" i="34" s="1"/>
  <c r="J38" i="34"/>
  <c r="D38" i="34"/>
  <c r="E38" i="34" s="1"/>
  <c r="J37" i="34"/>
  <c r="D37" i="34"/>
  <c r="E37" i="34" s="1"/>
  <c r="J36" i="34"/>
  <c r="D36" i="34"/>
  <c r="E36" i="34" s="1"/>
  <c r="J35" i="34"/>
  <c r="D35" i="34"/>
  <c r="E35" i="34" s="1"/>
  <c r="J34" i="34"/>
  <c r="D34" i="34"/>
  <c r="E34" i="34" s="1"/>
  <c r="J33" i="34"/>
  <c r="D33" i="34"/>
  <c r="E33" i="34" s="1"/>
  <c r="J32" i="34"/>
  <c r="D32" i="34"/>
  <c r="E32" i="34" s="1"/>
  <c r="J31" i="34"/>
  <c r="D31" i="34"/>
  <c r="E31" i="34" s="1"/>
  <c r="J30" i="34"/>
  <c r="D30" i="34"/>
  <c r="E30" i="34" s="1"/>
  <c r="J29" i="34"/>
  <c r="D29" i="34"/>
  <c r="E29" i="34" s="1"/>
  <c r="J28" i="34"/>
  <c r="D28" i="34"/>
  <c r="E28" i="34" s="1"/>
  <c r="J27" i="34"/>
  <c r="D27" i="34"/>
  <c r="E27" i="34" s="1"/>
  <c r="J26" i="34"/>
  <c r="D26" i="34"/>
  <c r="E26" i="34" s="1"/>
  <c r="J53" i="34"/>
  <c r="D53" i="34"/>
  <c r="E53" i="34" s="1"/>
  <c r="J25" i="34"/>
  <c r="D25" i="34"/>
  <c r="E25" i="34" s="1"/>
  <c r="J24" i="34"/>
  <c r="D24" i="34"/>
  <c r="E24" i="34" s="1"/>
  <c r="J23" i="34"/>
  <c r="D23" i="34"/>
  <c r="E23" i="34" s="1"/>
  <c r="J22" i="34"/>
  <c r="D22" i="34"/>
  <c r="E22" i="34" s="1"/>
  <c r="J21" i="34"/>
  <c r="D21" i="34"/>
  <c r="E21" i="34" s="1"/>
  <c r="J20" i="34"/>
  <c r="D20" i="34"/>
  <c r="E20" i="34" s="1"/>
  <c r="J19" i="34"/>
  <c r="D19" i="34"/>
  <c r="E19" i="34" s="1"/>
  <c r="J18" i="34"/>
  <c r="D18" i="34"/>
  <c r="E18" i="34" s="1"/>
  <c r="J17" i="34"/>
  <c r="D17" i="34"/>
  <c r="E17" i="34" s="1"/>
  <c r="J16" i="34"/>
  <c r="D16" i="34"/>
  <c r="E16" i="34" s="1"/>
  <c r="J15" i="34"/>
  <c r="D15" i="34"/>
  <c r="E15" i="34" s="1"/>
  <c r="J14" i="34"/>
  <c r="D14" i="34"/>
  <c r="E14" i="34" s="1"/>
  <c r="J13" i="34"/>
  <c r="D13" i="34"/>
  <c r="E13" i="34" s="1"/>
  <c r="J12" i="34"/>
  <c r="D12" i="34"/>
  <c r="E12" i="34" s="1"/>
  <c r="J11" i="34"/>
  <c r="D11" i="34"/>
  <c r="E11" i="34" s="1"/>
  <c r="J10" i="34"/>
  <c r="D10" i="34"/>
  <c r="E10" i="34" s="1"/>
  <c r="J9" i="34"/>
  <c r="D9" i="34"/>
  <c r="E9" i="34" s="1"/>
  <c r="J8" i="34"/>
  <c r="D8" i="34"/>
  <c r="E8" i="34" s="1"/>
  <c r="D8" i="24"/>
  <c r="E8" i="24"/>
  <c r="J8" i="24"/>
  <c r="W57" i="17" l="1"/>
  <c r="D14" i="1"/>
  <c r="D10" i="15" s="1"/>
  <c r="C10" i="15"/>
  <c r="F14" i="1"/>
  <c r="G14" i="1" s="1"/>
  <c r="E10" i="15"/>
  <c r="C7" i="34"/>
  <c r="H14" i="1"/>
  <c r="F10" i="15" s="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11" i="30"/>
  <c r="J12"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J68" i="29"/>
  <c r="J69" i="29"/>
  <c r="J70" i="29"/>
  <c r="J71" i="29"/>
  <c r="J72" i="29"/>
  <c r="J73" i="29"/>
  <c r="J74" i="29"/>
  <c r="J75" i="29"/>
  <c r="J76" i="29"/>
  <c r="J77" i="29"/>
  <c r="J78" i="29"/>
  <c r="J79" i="29"/>
  <c r="J80" i="29"/>
  <c r="J81" i="29"/>
  <c r="J82" i="29"/>
  <c r="J83" i="29"/>
  <c r="J84" i="29"/>
  <c r="J85" i="29"/>
  <c r="J86" i="29"/>
  <c r="J87" i="29"/>
  <c r="J88" i="29"/>
  <c r="J89" i="29"/>
  <c r="J90" i="29"/>
  <c r="J91" i="29"/>
  <c r="J92" i="29"/>
  <c r="J93" i="29"/>
  <c r="J94" i="29"/>
  <c r="J11" i="27"/>
  <c r="J12" i="27"/>
  <c r="J13" i="27"/>
  <c r="J14" i="27"/>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11" i="26"/>
  <c r="J12" i="26"/>
  <c r="J13" i="26"/>
  <c r="J14" i="26"/>
  <c r="J15" i="26"/>
  <c r="J16" i="26"/>
  <c r="J17" i="26"/>
  <c r="J18" i="26"/>
  <c r="J19" i="26"/>
  <c r="J20" i="26"/>
  <c r="J21" i="26"/>
  <c r="J22" i="26"/>
  <c r="J23" i="26"/>
  <c r="J24" i="26"/>
  <c r="J25" i="26"/>
  <c r="J26" i="26"/>
  <c r="J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6" i="26"/>
  <c r="J67" i="26"/>
  <c r="J68" i="26"/>
  <c r="J69" i="26"/>
  <c r="J70" i="26"/>
  <c r="J71" i="26"/>
  <c r="J72" i="26"/>
  <c r="J73" i="26"/>
  <c r="J74" i="26"/>
  <c r="J75" i="26"/>
  <c r="J76" i="26"/>
  <c r="J77" i="26"/>
  <c r="J78" i="26"/>
  <c r="J79" i="26"/>
  <c r="J80" i="26"/>
  <c r="J81" i="26"/>
  <c r="J82" i="26"/>
  <c r="J83" i="26"/>
  <c r="J84" i="26"/>
  <c r="J85" i="26"/>
  <c r="J86" i="26"/>
  <c r="J87" i="26"/>
  <c r="J88" i="26"/>
  <c r="J89" i="26"/>
  <c r="J90" i="26"/>
  <c r="J91" i="26"/>
  <c r="J92" i="26"/>
  <c r="J93" i="26"/>
  <c r="J94" i="26"/>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11" i="24"/>
  <c r="J12" i="24"/>
  <c r="J13" i="24"/>
  <c r="J14" i="24"/>
  <c r="J15" i="24"/>
  <c r="J16" i="24"/>
  <c r="J17" i="24"/>
  <c r="J18" i="24"/>
  <c r="J19" i="24"/>
  <c r="J20" i="24"/>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11" i="22"/>
  <c r="J12" i="22"/>
  <c r="J13" i="22"/>
  <c r="J14" i="22"/>
  <c r="J15" i="22"/>
  <c r="J16" i="22"/>
  <c r="J17" i="22"/>
  <c r="J18" i="22"/>
  <c r="J19" i="22"/>
  <c r="J20" i="22"/>
  <c r="J21" i="22"/>
  <c r="J22" i="22"/>
  <c r="J23" i="22"/>
  <c r="J24" i="22"/>
  <c r="J25" i="22"/>
  <c r="J26" i="22"/>
  <c r="J27" i="22"/>
  <c r="J28" i="22"/>
  <c r="J29" i="22"/>
  <c r="J30" i="22"/>
  <c r="J31" i="22"/>
  <c r="J32" i="22"/>
  <c r="J33" i="22"/>
  <c r="F8" i="33"/>
  <c r="F9" i="33"/>
  <c r="F11" i="33"/>
  <c r="F12" i="33"/>
  <c r="F13" i="33"/>
  <c r="J11" i="21"/>
  <c r="J12" i="21"/>
  <c r="J13" i="21"/>
  <c r="J14" i="21"/>
  <c r="J15" i="21"/>
  <c r="J16" i="21"/>
  <c r="J17" i="21"/>
  <c r="J18" i="21"/>
  <c r="J19" i="21"/>
  <c r="J20" i="21"/>
  <c r="J21" i="21"/>
  <c r="J22" i="21"/>
  <c r="J23" i="21"/>
  <c r="J24" i="21"/>
  <c r="J25" i="21"/>
  <c r="J26" i="21"/>
  <c r="J27" i="21"/>
  <c r="J28" i="21"/>
  <c r="J29" i="21"/>
  <c r="J30" i="21"/>
  <c r="J31" i="21"/>
  <c r="J32" i="21"/>
  <c r="J33" i="21"/>
  <c r="J11" i="20"/>
  <c r="J12" i="20"/>
  <c r="J13" i="20"/>
  <c r="J14" i="20"/>
  <c r="J15" i="20"/>
  <c r="J16" i="20"/>
  <c r="J17" i="20"/>
  <c r="J18" i="20"/>
  <c r="J19" i="20"/>
  <c r="J20" i="20"/>
  <c r="J21" i="20"/>
  <c r="J22" i="20"/>
  <c r="J23" i="20"/>
  <c r="J24" i="20"/>
  <c r="J25" i="20"/>
  <c r="J26" i="20"/>
  <c r="J10" i="31"/>
  <c r="J9" i="31"/>
  <c r="J8" i="31"/>
  <c r="J10" i="30"/>
  <c r="J9" i="30"/>
  <c r="J8" i="30"/>
  <c r="J10" i="29"/>
  <c r="J9" i="29"/>
  <c r="J8" i="29"/>
  <c r="J10" i="27"/>
  <c r="J9" i="27"/>
  <c r="J8" i="27"/>
  <c r="J10" i="26"/>
  <c r="J9" i="26"/>
  <c r="J8" i="26"/>
  <c r="J10" i="28"/>
  <c r="J9" i="28"/>
  <c r="J8" i="28"/>
  <c r="J9" i="25"/>
  <c r="J8" i="25"/>
  <c r="J10" i="24"/>
  <c r="J9" i="24"/>
  <c r="J10" i="22"/>
  <c r="J9" i="22"/>
  <c r="J8" i="22"/>
  <c r="J10" i="21"/>
  <c r="J9" i="21"/>
  <c r="J8" i="21"/>
  <c r="J10" i="20"/>
  <c r="J9" i="20"/>
  <c r="J8" i="20"/>
  <c r="J9" i="19"/>
  <c r="J10" i="19"/>
  <c r="J11" i="19"/>
  <c r="J12" i="19"/>
  <c r="J13" i="19"/>
  <c r="J14" i="19"/>
  <c r="J15" i="19"/>
  <c r="J16" i="19"/>
  <c r="J17" i="19"/>
  <c r="J18" i="19"/>
  <c r="J19" i="19"/>
  <c r="J20" i="19"/>
  <c r="J21" i="19"/>
  <c r="J22" i="19"/>
  <c r="J23" i="19"/>
  <c r="J24" i="19"/>
  <c r="J25" i="19"/>
  <c r="J26" i="19"/>
  <c r="J8" i="19"/>
  <c r="I14" i="1" l="1"/>
  <c r="G10" i="15" s="1"/>
  <c r="G23" i="33"/>
  <c r="G35" i="33" s="1"/>
  <c r="F11" i="34"/>
  <c r="F19" i="34"/>
  <c r="F27" i="34"/>
  <c r="F35" i="34"/>
  <c r="F43" i="34"/>
  <c r="F51" i="34"/>
  <c r="H23" i="33"/>
  <c r="H35" i="33" s="1"/>
  <c r="F12" i="34"/>
  <c r="F20" i="34"/>
  <c r="F28" i="34"/>
  <c r="F36" i="34"/>
  <c r="F44" i="34"/>
  <c r="F52" i="34"/>
  <c r="F48" i="34"/>
  <c r="F17" i="34"/>
  <c r="F18" i="34"/>
  <c r="F34" i="34"/>
  <c r="I23" i="33"/>
  <c r="I35" i="33" s="1"/>
  <c r="F13" i="34"/>
  <c r="F21" i="34"/>
  <c r="F29" i="34"/>
  <c r="F37" i="34"/>
  <c r="F45" i="34"/>
  <c r="F53" i="34"/>
  <c r="F24" i="34"/>
  <c r="F40" i="34"/>
  <c r="F25" i="34"/>
  <c r="F50" i="34"/>
  <c r="J23" i="33"/>
  <c r="J35" i="33" s="1"/>
  <c r="F14" i="34"/>
  <c r="F22" i="34"/>
  <c r="F30" i="34"/>
  <c r="F38" i="34"/>
  <c r="F46" i="34"/>
  <c r="F8" i="34"/>
  <c r="F32" i="34"/>
  <c r="F49" i="34"/>
  <c r="F26" i="34"/>
  <c r="F15" i="34"/>
  <c r="F23" i="34"/>
  <c r="F31" i="34"/>
  <c r="F39" i="34"/>
  <c r="F47" i="34"/>
  <c r="F16" i="34"/>
  <c r="F9" i="34"/>
  <c r="F33" i="34"/>
  <c r="F41" i="34"/>
  <c r="F10" i="34"/>
  <c r="F42" i="34"/>
  <c r="F23" i="33"/>
  <c r="F7" i="34"/>
  <c r="J34" i="17"/>
  <c r="N67" i="17" l="1"/>
  <c r="J92" i="17"/>
  <c r="W92" i="17" s="1"/>
  <c r="N73" i="17"/>
  <c r="J58" i="17"/>
  <c r="W34" i="17"/>
  <c r="Z67" i="17" s="1"/>
  <c r="D6" i="37"/>
  <c r="W46" i="17"/>
  <c r="Z73" i="17" s="1"/>
  <c r="D7" i="37"/>
  <c r="F35" i="33"/>
  <c r="M35" i="33" s="1"/>
  <c r="M23" i="33"/>
  <c r="J57" i="17"/>
  <c r="J41" i="17"/>
  <c r="J42" i="17" s="1"/>
  <c r="D90" i="31"/>
  <c r="E90" i="31"/>
  <c r="D91" i="31"/>
  <c r="E91" i="31" s="1"/>
  <c r="D92" i="31"/>
  <c r="E92" i="31"/>
  <c r="D93" i="31"/>
  <c r="E93" i="31"/>
  <c r="D89" i="31"/>
  <c r="E89" i="31" s="1"/>
  <c r="D88" i="31"/>
  <c r="E88" i="31" s="1"/>
  <c r="D87" i="31"/>
  <c r="E87" i="31" s="1"/>
  <c r="D86" i="31"/>
  <c r="E86" i="31" s="1"/>
  <c r="D85" i="31"/>
  <c r="E85" i="31" s="1"/>
  <c r="D84" i="31"/>
  <c r="E84" i="31" s="1"/>
  <c r="D83" i="31"/>
  <c r="E83" i="31" s="1"/>
  <c r="D82" i="31"/>
  <c r="E82" i="31" s="1"/>
  <c r="D81" i="31"/>
  <c r="E81" i="31" s="1"/>
  <c r="D80" i="31"/>
  <c r="E80" i="31" s="1"/>
  <c r="D79" i="31"/>
  <c r="E79" i="31" s="1"/>
  <c r="D78" i="31"/>
  <c r="E78" i="31" s="1"/>
  <c r="D77" i="31"/>
  <c r="E77" i="31" s="1"/>
  <c r="D76" i="31"/>
  <c r="E76" i="31" s="1"/>
  <c r="D12" i="31"/>
  <c r="E12" i="31" s="1"/>
  <c r="D13" i="31"/>
  <c r="E13" i="31" s="1"/>
  <c r="D14" i="31"/>
  <c r="E14" i="31" s="1"/>
  <c r="D15" i="31"/>
  <c r="E15" i="31" s="1"/>
  <c r="D16" i="31"/>
  <c r="E16" i="31" s="1"/>
  <c r="D17" i="31"/>
  <c r="E17" i="31" s="1"/>
  <c r="D18" i="31"/>
  <c r="E18" i="31" s="1"/>
  <c r="D19" i="31"/>
  <c r="E19" i="31" s="1"/>
  <c r="D20" i="31"/>
  <c r="E20" i="31" s="1"/>
  <c r="D21" i="31"/>
  <c r="E21" i="31" s="1"/>
  <c r="D22" i="31"/>
  <c r="E22" i="31" s="1"/>
  <c r="D23" i="31"/>
  <c r="E23" i="31" s="1"/>
  <c r="D24" i="31"/>
  <c r="E24" i="31" s="1"/>
  <c r="D25" i="31"/>
  <c r="E25" i="31" s="1"/>
  <c r="D26" i="31"/>
  <c r="E26" i="31" s="1"/>
  <c r="D27" i="31"/>
  <c r="E27" i="31" s="1"/>
  <c r="D28" i="31"/>
  <c r="E28" i="31" s="1"/>
  <c r="D29" i="31"/>
  <c r="E29" i="31" s="1"/>
  <c r="D30" i="31"/>
  <c r="E30" i="31" s="1"/>
  <c r="D31" i="31"/>
  <c r="E31" i="31" s="1"/>
  <c r="D32" i="31"/>
  <c r="E32" i="31" s="1"/>
  <c r="D33" i="31"/>
  <c r="E33" i="31" s="1"/>
  <c r="D34" i="31"/>
  <c r="E34" i="31" s="1"/>
  <c r="D35" i="31"/>
  <c r="E35" i="31" s="1"/>
  <c r="D36" i="31"/>
  <c r="E36" i="31" s="1"/>
  <c r="D37" i="31"/>
  <c r="E37" i="31" s="1"/>
  <c r="D38" i="31"/>
  <c r="E38" i="31" s="1"/>
  <c r="D39" i="31"/>
  <c r="E39" i="31" s="1"/>
  <c r="D40" i="31"/>
  <c r="E40" i="31" s="1"/>
  <c r="D41" i="31"/>
  <c r="E41" i="31" s="1"/>
  <c r="D42" i="31"/>
  <c r="E42" i="31" s="1"/>
  <c r="D43" i="31"/>
  <c r="E43" i="31" s="1"/>
  <c r="D44" i="31"/>
  <c r="E44" i="31" s="1"/>
  <c r="D45" i="31"/>
  <c r="E45" i="31" s="1"/>
  <c r="D46" i="31"/>
  <c r="E46" i="31" s="1"/>
  <c r="D47" i="31"/>
  <c r="E47" i="31" s="1"/>
  <c r="D48" i="31"/>
  <c r="E48" i="31" s="1"/>
  <c r="D49" i="31"/>
  <c r="E49" i="31" s="1"/>
  <c r="D50" i="31"/>
  <c r="E50" i="31" s="1"/>
  <c r="D51" i="31"/>
  <c r="E51" i="31" s="1"/>
  <c r="D52" i="31"/>
  <c r="E52" i="31" s="1"/>
  <c r="D53" i="31"/>
  <c r="E53" i="31" s="1"/>
  <c r="D54" i="31"/>
  <c r="E54" i="31" s="1"/>
  <c r="D55" i="31"/>
  <c r="E55" i="31" s="1"/>
  <c r="D56" i="31"/>
  <c r="E56" i="31" s="1"/>
  <c r="D57" i="31"/>
  <c r="E57" i="31" s="1"/>
  <c r="D58" i="31"/>
  <c r="E58" i="31" s="1"/>
  <c r="D59" i="31"/>
  <c r="E59" i="31" s="1"/>
  <c r="D60" i="30"/>
  <c r="E60" i="30" s="1"/>
  <c r="D61" i="30"/>
  <c r="E61" i="30" s="1"/>
  <c r="D62" i="30"/>
  <c r="E62" i="30" s="1"/>
  <c r="D63" i="30"/>
  <c r="E63" i="30" s="1"/>
  <c r="D64" i="30"/>
  <c r="E64" i="30" s="1"/>
  <c r="D65" i="30"/>
  <c r="E65" i="30" s="1"/>
  <c r="D66" i="30"/>
  <c r="E66" i="30" s="1"/>
  <c r="D67" i="30"/>
  <c r="E67" i="30" s="1"/>
  <c r="D68" i="30"/>
  <c r="E68" i="30" s="1"/>
  <c r="D69" i="30"/>
  <c r="E69" i="30" s="1"/>
  <c r="D70" i="30"/>
  <c r="E70" i="30" s="1"/>
  <c r="D71" i="30"/>
  <c r="E71" i="30" s="1"/>
  <c r="D72" i="30"/>
  <c r="E72" i="30" s="1"/>
  <c r="D73" i="30"/>
  <c r="E73" i="30" s="1"/>
  <c r="D74" i="30"/>
  <c r="E74" i="30" s="1"/>
  <c r="D75" i="30"/>
  <c r="E75" i="30" s="1"/>
  <c r="D76" i="30"/>
  <c r="E76" i="30" s="1"/>
  <c r="D77" i="30"/>
  <c r="E77" i="30" s="1"/>
  <c r="D78" i="30"/>
  <c r="E78" i="30" s="1"/>
  <c r="D79" i="30"/>
  <c r="E79" i="30" s="1"/>
  <c r="D80" i="30"/>
  <c r="E80" i="30" s="1"/>
  <c r="D81" i="30"/>
  <c r="E81" i="30" s="1"/>
  <c r="D82" i="30"/>
  <c r="E82" i="30" s="1"/>
  <c r="D83" i="30"/>
  <c r="E83" i="30" s="1"/>
  <c r="D84" i="30"/>
  <c r="E84" i="30" s="1"/>
  <c r="D85" i="30"/>
  <c r="E85" i="30" s="1"/>
  <c r="D86" i="30"/>
  <c r="E86" i="30" s="1"/>
  <c r="D87" i="30"/>
  <c r="E87" i="30" s="1"/>
  <c r="D88" i="30"/>
  <c r="E88" i="30" s="1"/>
  <c r="D89" i="30"/>
  <c r="E89" i="30" s="1"/>
  <c r="D90" i="30"/>
  <c r="E90" i="30" s="1"/>
  <c r="D91" i="30"/>
  <c r="E91" i="30" s="1"/>
  <c r="D92" i="30"/>
  <c r="E92" i="30" s="1"/>
  <c r="D93" i="30"/>
  <c r="E93" i="30" s="1"/>
  <c r="D51" i="30"/>
  <c r="E51" i="30"/>
  <c r="D52" i="30"/>
  <c r="E52" i="30" s="1"/>
  <c r="D53" i="30"/>
  <c r="E53" i="30"/>
  <c r="D30" i="30"/>
  <c r="E30" i="30" s="1"/>
  <c r="D31" i="30"/>
  <c r="E31" i="30" s="1"/>
  <c r="D32" i="30"/>
  <c r="E32" i="30" s="1"/>
  <c r="D33" i="30"/>
  <c r="E33" i="30" s="1"/>
  <c r="D34" i="30"/>
  <c r="E34" i="30" s="1"/>
  <c r="D35" i="30"/>
  <c r="E35" i="30" s="1"/>
  <c r="D36" i="30"/>
  <c r="E36" i="30" s="1"/>
  <c r="D37" i="30"/>
  <c r="E37" i="30" s="1"/>
  <c r="D38" i="30"/>
  <c r="E38" i="30" s="1"/>
  <c r="D39" i="30"/>
  <c r="E39" i="30" s="1"/>
  <c r="D40" i="30"/>
  <c r="E40" i="30"/>
  <c r="D41" i="30"/>
  <c r="E41" i="30" s="1"/>
  <c r="D42" i="30"/>
  <c r="E42" i="30" s="1"/>
  <c r="D43" i="30"/>
  <c r="E43" i="30" s="1"/>
  <c r="D44" i="30"/>
  <c r="E44" i="30" s="1"/>
  <c r="D45" i="30"/>
  <c r="E45" i="30" s="1"/>
  <c r="D46" i="30"/>
  <c r="E46" i="30" s="1"/>
  <c r="D47" i="30"/>
  <c r="E47" i="30" s="1"/>
  <c r="D48" i="30"/>
  <c r="E48" i="30" s="1"/>
  <c r="D49" i="30"/>
  <c r="E49" i="30" s="1"/>
  <c r="D50" i="30"/>
  <c r="E50" i="30" s="1"/>
  <c r="D91" i="29"/>
  <c r="E91" i="29" s="1"/>
  <c r="D92" i="29"/>
  <c r="E92" i="29"/>
  <c r="D93" i="29"/>
  <c r="E93" i="29" s="1"/>
  <c r="D90" i="29"/>
  <c r="E90" i="29" s="1"/>
  <c r="D89" i="29"/>
  <c r="E89" i="29" s="1"/>
  <c r="D88" i="29"/>
  <c r="E88" i="29" s="1"/>
  <c r="D87" i="29"/>
  <c r="E87" i="29" s="1"/>
  <c r="D86" i="29"/>
  <c r="E86" i="29" s="1"/>
  <c r="D85" i="29"/>
  <c r="E85" i="29" s="1"/>
  <c r="D84" i="29"/>
  <c r="E84" i="29" s="1"/>
  <c r="D83" i="29"/>
  <c r="E83" i="29" s="1"/>
  <c r="D82" i="29"/>
  <c r="E82" i="29" s="1"/>
  <c r="D81" i="29"/>
  <c r="E81" i="29" s="1"/>
  <c r="D80" i="29"/>
  <c r="E80" i="29" s="1"/>
  <c r="D79" i="29"/>
  <c r="E79" i="29" s="1"/>
  <c r="D78" i="29"/>
  <c r="E78" i="29" s="1"/>
  <c r="D77" i="29"/>
  <c r="E77" i="29" s="1"/>
  <c r="D76" i="29"/>
  <c r="E76" i="29" s="1"/>
  <c r="D75" i="29"/>
  <c r="E75" i="29" s="1"/>
  <c r="D74" i="29"/>
  <c r="E74" i="29" s="1"/>
  <c r="D73" i="29"/>
  <c r="E73" i="29" s="1"/>
  <c r="D72" i="29"/>
  <c r="E72" i="29" s="1"/>
  <c r="D71" i="29"/>
  <c r="E71" i="29" s="1"/>
  <c r="D70" i="29"/>
  <c r="E70" i="29" s="1"/>
  <c r="D69" i="29"/>
  <c r="E69" i="29" s="1"/>
  <c r="D68" i="29"/>
  <c r="E68" i="29" s="1"/>
  <c r="D67" i="29"/>
  <c r="E67" i="29" s="1"/>
  <c r="D66" i="29"/>
  <c r="E66" i="29" s="1"/>
  <c r="D65" i="29"/>
  <c r="E65" i="29" s="1"/>
  <c r="D64" i="29"/>
  <c r="E64" i="29" s="1"/>
  <c r="D63" i="29"/>
  <c r="E63" i="29" s="1"/>
  <c r="D15" i="29"/>
  <c r="E15" i="29" s="1"/>
  <c r="D16" i="29"/>
  <c r="E16" i="29" s="1"/>
  <c r="D17" i="29"/>
  <c r="E17" i="29" s="1"/>
  <c r="D18" i="29"/>
  <c r="E18" i="29" s="1"/>
  <c r="D19" i="29"/>
  <c r="E19" i="29" s="1"/>
  <c r="D20" i="29"/>
  <c r="E20" i="29" s="1"/>
  <c r="D21" i="29"/>
  <c r="E21" i="29" s="1"/>
  <c r="D22" i="29"/>
  <c r="E22" i="29" s="1"/>
  <c r="D23" i="29"/>
  <c r="E23" i="29" s="1"/>
  <c r="D24" i="29"/>
  <c r="E24" i="29" s="1"/>
  <c r="D25" i="29"/>
  <c r="E25" i="29" s="1"/>
  <c r="D26" i="29"/>
  <c r="E26" i="29" s="1"/>
  <c r="D27" i="29"/>
  <c r="E27" i="29" s="1"/>
  <c r="D28" i="29"/>
  <c r="E28" i="29" s="1"/>
  <c r="D29" i="29"/>
  <c r="E29" i="29" s="1"/>
  <c r="D30" i="29"/>
  <c r="E30" i="29" s="1"/>
  <c r="D31" i="29"/>
  <c r="E31" i="29" s="1"/>
  <c r="D32" i="29"/>
  <c r="E32" i="29" s="1"/>
  <c r="D94" i="31"/>
  <c r="E94" i="31" s="1"/>
  <c r="D75" i="31"/>
  <c r="E75" i="31" s="1"/>
  <c r="D74" i="31"/>
  <c r="E74" i="31" s="1"/>
  <c r="D73" i="31"/>
  <c r="E73" i="31" s="1"/>
  <c r="D72" i="31"/>
  <c r="E72" i="31" s="1"/>
  <c r="D71" i="31"/>
  <c r="E71" i="31" s="1"/>
  <c r="D70" i="31"/>
  <c r="E70" i="31" s="1"/>
  <c r="D69" i="31"/>
  <c r="E69" i="31" s="1"/>
  <c r="D68" i="31"/>
  <c r="E68" i="31" s="1"/>
  <c r="D67" i="31"/>
  <c r="E67" i="31" s="1"/>
  <c r="D66" i="31"/>
  <c r="E66" i="31" s="1"/>
  <c r="D65" i="31"/>
  <c r="E65" i="31" s="1"/>
  <c r="D64" i="31"/>
  <c r="E64" i="31" s="1"/>
  <c r="D63" i="31"/>
  <c r="E63" i="31" s="1"/>
  <c r="D62" i="31"/>
  <c r="E62" i="31" s="1"/>
  <c r="D61" i="31"/>
  <c r="E61" i="31" s="1"/>
  <c r="D60" i="31"/>
  <c r="E60" i="31" s="1"/>
  <c r="D11" i="31"/>
  <c r="E11" i="31" s="1"/>
  <c r="D10" i="31"/>
  <c r="E10" i="31" s="1"/>
  <c r="D9" i="31"/>
  <c r="E9" i="31" s="1"/>
  <c r="D8" i="31"/>
  <c r="E8" i="31" s="1"/>
  <c r="D94" i="30"/>
  <c r="E94" i="30" s="1"/>
  <c r="D59" i="30"/>
  <c r="E59" i="30" s="1"/>
  <c r="D58" i="30"/>
  <c r="E58" i="30" s="1"/>
  <c r="D57" i="30"/>
  <c r="E57" i="30" s="1"/>
  <c r="D56" i="30"/>
  <c r="E56" i="30" s="1"/>
  <c r="D55" i="30"/>
  <c r="E55" i="30" s="1"/>
  <c r="D54" i="30"/>
  <c r="E54" i="30" s="1"/>
  <c r="D29" i="30"/>
  <c r="E29" i="30" s="1"/>
  <c r="D28" i="30"/>
  <c r="E28" i="30" s="1"/>
  <c r="D27" i="30"/>
  <c r="E27" i="30" s="1"/>
  <c r="D26" i="30"/>
  <c r="E26" i="30" s="1"/>
  <c r="D25" i="30"/>
  <c r="E25" i="30" s="1"/>
  <c r="D24" i="30"/>
  <c r="E24" i="30" s="1"/>
  <c r="D23" i="30"/>
  <c r="E23" i="30" s="1"/>
  <c r="D22" i="30"/>
  <c r="E22" i="30" s="1"/>
  <c r="D21" i="30"/>
  <c r="E21" i="30" s="1"/>
  <c r="D20" i="30"/>
  <c r="E20" i="30" s="1"/>
  <c r="D19" i="30"/>
  <c r="E19" i="30" s="1"/>
  <c r="D18" i="30"/>
  <c r="E18" i="30" s="1"/>
  <c r="D17" i="30"/>
  <c r="E17" i="30" s="1"/>
  <c r="D16" i="30"/>
  <c r="E16" i="30" s="1"/>
  <c r="D15" i="30"/>
  <c r="E15" i="30" s="1"/>
  <c r="D14" i="30"/>
  <c r="E14" i="30" s="1"/>
  <c r="D13" i="30"/>
  <c r="E13" i="30" s="1"/>
  <c r="D12" i="30"/>
  <c r="E12" i="30" s="1"/>
  <c r="D11" i="30"/>
  <c r="E11" i="30" s="1"/>
  <c r="D10" i="30"/>
  <c r="E10" i="30" s="1"/>
  <c r="D9" i="30"/>
  <c r="E9" i="30" s="1"/>
  <c r="D8" i="30"/>
  <c r="E8" i="30" s="1"/>
  <c r="D94" i="29"/>
  <c r="E94" i="29" s="1"/>
  <c r="D62" i="29"/>
  <c r="E62" i="29" s="1"/>
  <c r="D61" i="29"/>
  <c r="E61" i="29" s="1"/>
  <c r="D60" i="29"/>
  <c r="E60" i="29" s="1"/>
  <c r="D59" i="29"/>
  <c r="E59" i="29" s="1"/>
  <c r="D58" i="29"/>
  <c r="E58" i="29" s="1"/>
  <c r="D57" i="29"/>
  <c r="E57" i="29" s="1"/>
  <c r="D56" i="29"/>
  <c r="E56" i="29" s="1"/>
  <c r="D55" i="29"/>
  <c r="E55" i="29" s="1"/>
  <c r="D54" i="29"/>
  <c r="E54" i="29" s="1"/>
  <c r="D53" i="29"/>
  <c r="E53" i="29" s="1"/>
  <c r="D52" i="29"/>
  <c r="E52" i="29" s="1"/>
  <c r="D51" i="29"/>
  <c r="E51" i="29" s="1"/>
  <c r="D50" i="29"/>
  <c r="E50" i="29" s="1"/>
  <c r="D49" i="29"/>
  <c r="E49" i="29" s="1"/>
  <c r="D48" i="29"/>
  <c r="E48" i="29" s="1"/>
  <c r="D47" i="29"/>
  <c r="E47" i="29" s="1"/>
  <c r="D46" i="29"/>
  <c r="E46" i="29" s="1"/>
  <c r="D45" i="29"/>
  <c r="E45" i="29" s="1"/>
  <c r="D44" i="29"/>
  <c r="E44" i="29" s="1"/>
  <c r="D43" i="29"/>
  <c r="E43" i="29" s="1"/>
  <c r="D42" i="29"/>
  <c r="E42" i="29" s="1"/>
  <c r="D41" i="29"/>
  <c r="E41" i="29" s="1"/>
  <c r="D40" i="29"/>
  <c r="E40" i="29" s="1"/>
  <c r="D39" i="29"/>
  <c r="E39" i="29" s="1"/>
  <c r="D38" i="29"/>
  <c r="E38" i="29" s="1"/>
  <c r="D37" i="29"/>
  <c r="E37" i="29" s="1"/>
  <c r="D36" i="29"/>
  <c r="E36" i="29" s="1"/>
  <c r="D35" i="29"/>
  <c r="E35" i="29" s="1"/>
  <c r="D34" i="29"/>
  <c r="E34" i="29" s="1"/>
  <c r="D33" i="29"/>
  <c r="E33" i="29" s="1"/>
  <c r="D14" i="29"/>
  <c r="E14" i="29" s="1"/>
  <c r="D13" i="29"/>
  <c r="E13" i="29" s="1"/>
  <c r="D12" i="29"/>
  <c r="E12" i="29" s="1"/>
  <c r="D11" i="29"/>
  <c r="E11" i="29" s="1"/>
  <c r="D10" i="29"/>
  <c r="E10" i="29" s="1"/>
  <c r="D9" i="29"/>
  <c r="E9" i="29" s="1"/>
  <c r="D8" i="29"/>
  <c r="E8" i="29" s="1"/>
  <c r="D24" i="27"/>
  <c r="E24" i="27" s="1"/>
  <c r="D25" i="27"/>
  <c r="E25" i="27" s="1"/>
  <c r="D26" i="27"/>
  <c r="E26" i="27" s="1"/>
  <c r="D27" i="27"/>
  <c r="E27" i="27" s="1"/>
  <c r="D28" i="27"/>
  <c r="E28" i="27" s="1"/>
  <c r="D29" i="27"/>
  <c r="E29" i="27" s="1"/>
  <c r="D30" i="27"/>
  <c r="E30" i="27" s="1"/>
  <c r="D31" i="27"/>
  <c r="E31" i="27" s="1"/>
  <c r="D32" i="27"/>
  <c r="E32" i="27" s="1"/>
  <c r="D33" i="27"/>
  <c r="E33" i="27" s="1"/>
  <c r="D34" i="27"/>
  <c r="E34" i="27" s="1"/>
  <c r="D35" i="27"/>
  <c r="E35" i="27" s="1"/>
  <c r="D36" i="27"/>
  <c r="E36" i="27" s="1"/>
  <c r="D37" i="27"/>
  <c r="E37" i="27" s="1"/>
  <c r="D38" i="27"/>
  <c r="E38" i="27" s="1"/>
  <c r="D39" i="27"/>
  <c r="E39" i="27" s="1"/>
  <c r="D40" i="27"/>
  <c r="E40" i="27" s="1"/>
  <c r="D41" i="27"/>
  <c r="E41" i="27" s="1"/>
  <c r="D42" i="27"/>
  <c r="E42" i="27" s="1"/>
  <c r="D43" i="27"/>
  <c r="E43" i="27" s="1"/>
  <c r="D44" i="27"/>
  <c r="E44" i="27" s="1"/>
  <c r="D45" i="27"/>
  <c r="E45" i="27" s="1"/>
  <c r="D46" i="27"/>
  <c r="E46" i="27" s="1"/>
  <c r="D47" i="27"/>
  <c r="E47" i="27" s="1"/>
  <c r="D48" i="27"/>
  <c r="E48" i="27" s="1"/>
  <c r="D49" i="27"/>
  <c r="E49" i="27" s="1"/>
  <c r="D50" i="27"/>
  <c r="E50" i="27" s="1"/>
  <c r="D51" i="27"/>
  <c r="E51" i="27" s="1"/>
  <c r="D52" i="27"/>
  <c r="E52" i="27" s="1"/>
  <c r="D53" i="27"/>
  <c r="E53" i="27" s="1"/>
  <c r="D54" i="27"/>
  <c r="E54" i="27" s="1"/>
  <c r="D55" i="27"/>
  <c r="E55" i="27" s="1"/>
  <c r="D56" i="27"/>
  <c r="E56" i="27" s="1"/>
  <c r="D57" i="27"/>
  <c r="E57" i="27" s="1"/>
  <c r="D58" i="27"/>
  <c r="E58" i="27" s="1"/>
  <c r="D59" i="27"/>
  <c r="E59" i="27" s="1"/>
  <c r="D60" i="27"/>
  <c r="E60" i="27" s="1"/>
  <c r="D61" i="27"/>
  <c r="E61" i="27" s="1"/>
  <c r="D62" i="27"/>
  <c r="E62" i="27" s="1"/>
  <c r="D63" i="27"/>
  <c r="E63" i="27" s="1"/>
  <c r="D64" i="27"/>
  <c r="E64" i="27" s="1"/>
  <c r="D65" i="27"/>
  <c r="E65" i="27" s="1"/>
  <c r="D66" i="27"/>
  <c r="E66" i="27" s="1"/>
  <c r="D67" i="27"/>
  <c r="E67" i="27" s="1"/>
  <c r="D68" i="27"/>
  <c r="E68" i="27" s="1"/>
  <c r="D69" i="27"/>
  <c r="E69" i="27" s="1"/>
  <c r="D70" i="27"/>
  <c r="E70" i="27" s="1"/>
  <c r="D71" i="27"/>
  <c r="E71" i="27" s="1"/>
  <c r="D72" i="27"/>
  <c r="E72" i="27" s="1"/>
  <c r="D73" i="27"/>
  <c r="E73" i="27" s="1"/>
  <c r="D74" i="27"/>
  <c r="E74" i="27" s="1"/>
  <c r="D75" i="27"/>
  <c r="E75" i="27" s="1"/>
  <c r="D76" i="27"/>
  <c r="E76" i="27" s="1"/>
  <c r="D77" i="27"/>
  <c r="E77" i="27" s="1"/>
  <c r="D78" i="27"/>
  <c r="E78" i="27" s="1"/>
  <c r="D79" i="27"/>
  <c r="E79" i="27" s="1"/>
  <c r="D80" i="27"/>
  <c r="E80" i="27" s="1"/>
  <c r="D81" i="27"/>
  <c r="E81" i="27" s="1"/>
  <c r="D82" i="27"/>
  <c r="E82" i="27" s="1"/>
  <c r="D83" i="27"/>
  <c r="E83" i="27"/>
  <c r="D84" i="27"/>
  <c r="E84" i="27" s="1"/>
  <c r="D85" i="27"/>
  <c r="E85" i="27"/>
  <c r="D86" i="27"/>
  <c r="E86" i="27" s="1"/>
  <c r="D87" i="27"/>
  <c r="E87" i="27" s="1"/>
  <c r="D88" i="27"/>
  <c r="E88" i="27" s="1"/>
  <c r="D89" i="27"/>
  <c r="E89" i="27"/>
  <c r="D90" i="27"/>
  <c r="E90" i="27" s="1"/>
  <c r="D91" i="27"/>
  <c r="E91" i="27" s="1"/>
  <c r="D92" i="27"/>
  <c r="E92" i="27" s="1"/>
  <c r="D93" i="27"/>
  <c r="E93" i="27" s="1"/>
  <c r="D17" i="27"/>
  <c r="E17" i="27" s="1"/>
  <c r="D18" i="27"/>
  <c r="E18" i="27" s="1"/>
  <c r="D19" i="27"/>
  <c r="E19" i="27" s="1"/>
  <c r="D11" i="27"/>
  <c r="E11" i="27" s="1"/>
  <c r="D12" i="27"/>
  <c r="E12" i="27" s="1"/>
  <c r="D13" i="27"/>
  <c r="E13" i="27" s="1"/>
  <c r="D14" i="27"/>
  <c r="E14" i="27" s="1"/>
  <c r="D15" i="27"/>
  <c r="E15" i="27" s="1"/>
  <c r="D16" i="27"/>
  <c r="E16" i="27" s="1"/>
  <c r="D10" i="27"/>
  <c r="E10" i="27" s="1"/>
  <c r="D9" i="27"/>
  <c r="E9" i="27" s="1"/>
  <c r="D22" i="26"/>
  <c r="E22" i="26" s="1"/>
  <c r="D23" i="26"/>
  <c r="E23" i="26" s="1"/>
  <c r="D24" i="26"/>
  <c r="E24" i="26" s="1"/>
  <c r="D25" i="26"/>
  <c r="E25" i="26" s="1"/>
  <c r="D26" i="26"/>
  <c r="E26" i="26" s="1"/>
  <c r="D27" i="26"/>
  <c r="E27" i="26" s="1"/>
  <c r="D28" i="26"/>
  <c r="E28" i="26" s="1"/>
  <c r="D29" i="26"/>
  <c r="E29" i="26" s="1"/>
  <c r="D30" i="26"/>
  <c r="E30" i="26" s="1"/>
  <c r="D31" i="26"/>
  <c r="E31" i="26" s="1"/>
  <c r="D32" i="26"/>
  <c r="E32" i="26" s="1"/>
  <c r="D33" i="26"/>
  <c r="E33" i="26" s="1"/>
  <c r="D34" i="26"/>
  <c r="E34" i="26" s="1"/>
  <c r="D35" i="26"/>
  <c r="E35" i="26" s="1"/>
  <c r="D36" i="26"/>
  <c r="E36" i="26" s="1"/>
  <c r="D37" i="26"/>
  <c r="E37" i="26" s="1"/>
  <c r="D38" i="26"/>
  <c r="E38" i="26" s="1"/>
  <c r="D39" i="26"/>
  <c r="E39" i="26" s="1"/>
  <c r="D40" i="26"/>
  <c r="E40" i="26" s="1"/>
  <c r="D41" i="26"/>
  <c r="E41" i="26" s="1"/>
  <c r="D42" i="26"/>
  <c r="E42" i="26" s="1"/>
  <c r="D43" i="26"/>
  <c r="E43" i="26" s="1"/>
  <c r="D44" i="26"/>
  <c r="E44" i="26" s="1"/>
  <c r="D45" i="26"/>
  <c r="E45" i="26" s="1"/>
  <c r="D46" i="26"/>
  <c r="E46" i="26" s="1"/>
  <c r="D47" i="26"/>
  <c r="E47" i="26" s="1"/>
  <c r="D48" i="26"/>
  <c r="E48" i="26" s="1"/>
  <c r="D49" i="26"/>
  <c r="E49" i="26" s="1"/>
  <c r="D50" i="26"/>
  <c r="E50" i="26" s="1"/>
  <c r="D51" i="26"/>
  <c r="E51" i="26" s="1"/>
  <c r="D52" i="26"/>
  <c r="E52" i="26" s="1"/>
  <c r="D53" i="26"/>
  <c r="E53" i="26" s="1"/>
  <c r="D54" i="26"/>
  <c r="E54" i="26" s="1"/>
  <c r="D55" i="26"/>
  <c r="E55" i="26" s="1"/>
  <c r="D56" i="26"/>
  <c r="E56" i="26" s="1"/>
  <c r="D57" i="26"/>
  <c r="E57" i="26" s="1"/>
  <c r="D58" i="26"/>
  <c r="E58" i="26" s="1"/>
  <c r="D59" i="26"/>
  <c r="E59" i="26" s="1"/>
  <c r="D60" i="26"/>
  <c r="E60" i="26" s="1"/>
  <c r="D61" i="26"/>
  <c r="E61" i="26" s="1"/>
  <c r="D62" i="26"/>
  <c r="E62" i="26" s="1"/>
  <c r="D63" i="26"/>
  <c r="E63" i="26" s="1"/>
  <c r="D64" i="26"/>
  <c r="E64" i="26" s="1"/>
  <c r="D65" i="26"/>
  <c r="E65" i="26" s="1"/>
  <c r="D66" i="26"/>
  <c r="E66" i="26" s="1"/>
  <c r="D67" i="26"/>
  <c r="E67" i="26" s="1"/>
  <c r="D68" i="26"/>
  <c r="E68" i="26" s="1"/>
  <c r="D69" i="26"/>
  <c r="E69" i="26" s="1"/>
  <c r="D70" i="26"/>
  <c r="E70" i="26" s="1"/>
  <c r="D71" i="26"/>
  <c r="E71" i="26" s="1"/>
  <c r="D72" i="26"/>
  <c r="E72" i="26" s="1"/>
  <c r="D73" i="26"/>
  <c r="E73" i="26" s="1"/>
  <c r="D74" i="26"/>
  <c r="E74" i="26" s="1"/>
  <c r="D75" i="26"/>
  <c r="E75" i="26" s="1"/>
  <c r="D76" i="26"/>
  <c r="E76" i="26" s="1"/>
  <c r="D77" i="26"/>
  <c r="E77" i="26" s="1"/>
  <c r="D78" i="26"/>
  <c r="E78" i="26" s="1"/>
  <c r="D79" i="26"/>
  <c r="E79" i="26" s="1"/>
  <c r="D80" i="26"/>
  <c r="E80" i="26" s="1"/>
  <c r="D81" i="26"/>
  <c r="E81" i="26" s="1"/>
  <c r="D82" i="26"/>
  <c r="E82" i="26" s="1"/>
  <c r="D83" i="26"/>
  <c r="E83" i="26" s="1"/>
  <c r="D84" i="26"/>
  <c r="E84" i="26" s="1"/>
  <c r="D85" i="26"/>
  <c r="E85" i="26" s="1"/>
  <c r="D86" i="26"/>
  <c r="E86" i="26" s="1"/>
  <c r="D87" i="26"/>
  <c r="E87" i="26" s="1"/>
  <c r="D88" i="26"/>
  <c r="E88" i="26" s="1"/>
  <c r="D89" i="26"/>
  <c r="E89" i="26" s="1"/>
  <c r="D90" i="26"/>
  <c r="E90" i="26" s="1"/>
  <c r="D91" i="26"/>
  <c r="E91" i="26" s="1"/>
  <c r="D92" i="26"/>
  <c r="E92" i="26" s="1"/>
  <c r="D93" i="26"/>
  <c r="E93" i="26" s="1"/>
  <c r="D17" i="26"/>
  <c r="E17" i="26" s="1"/>
  <c r="D18" i="26"/>
  <c r="E18" i="26" s="1"/>
  <c r="D19" i="26"/>
  <c r="E19" i="26" s="1"/>
  <c r="D9" i="26"/>
  <c r="E9" i="26" s="1"/>
  <c r="D10" i="26"/>
  <c r="E10" i="26" s="1"/>
  <c r="D11" i="26"/>
  <c r="E11" i="26"/>
  <c r="D12" i="26"/>
  <c r="E12" i="26" s="1"/>
  <c r="D13" i="26"/>
  <c r="E13" i="26" s="1"/>
  <c r="D14" i="26"/>
  <c r="E14" i="26" s="1"/>
  <c r="D15" i="26"/>
  <c r="E15" i="26" s="1"/>
  <c r="D16" i="26"/>
  <c r="E16" i="26" s="1"/>
  <c r="D103" i="28"/>
  <c r="E103" i="28" s="1"/>
  <c r="D104" i="28"/>
  <c r="E104" i="28" s="1"/>
  <c r="D105" i="28"/>
  <c r="E105" i="28" s="1"/>
  <c r="D106" i="28"/>
  <c r="E106" i="28" s="1"/>
  <c r="D107" i="28"/>
  <c r="E107" i="28" s="1"/>
  <c r="D108" i="28"/>
  <c r="E108" i="28" s="1"/>
  <c r="D109" i="28"/>
  <c r="E109" i="28" s="1"/>
  <c r="D110" i="28"/>
  <c r="E110" i="28" s="1"/>
  <c r="D111" i="28"/>
  <c r="E111" i="28" s="1"/>
  <c r="D112" i="28"/>
  <c r="E112" i="28" s="1"/>
  <c r="D77" i="28"/>
  <c r="E77" i="28" s="1"/>
  <c r="D78" i="28"/>
  <c r="E78" i="28"/>
  <c r="D79" i="28"/>
  <c r="E79" i="28"/>
  <c r="D80" i="28"/>
  <c r="E80" i="28"/>
  <c r="D81" i="28"/>
  <c r="E81" i="28" s="1"/>
  <c r="D82" i="28"/>
  <c r="E82" i="28" s="1"/>
  <c r="D83" i="28"/>
  <c r="E83" i="28"/>
  <c r="D84" i="28"/>
  <c r="E84" i="28" s="1"/>
  <c r="D85" i="28"/>
  <c r="E85" i="28" s="1"/>
  <c r="D86" i="28"/>
  <c r="E86" i="28"/>
  <c r="D87" i="28"/>
  <c r="E87" i="28"/>
  <c r="D88" i="28"/>
  <c r="E88" i="28"/>
  <c r="D89" i="28"/>
  <c r="E89" i="28" s="1"/>
  <c r="D90" i="28"/>
  <c r="E90" i="28" s="1"/>
  <c r="D91" i="28"/>
  <c r="E91" i="28" s="1"/>
  <c r="D92" i="28"/>
  <c r="E92" i="28" s="1"/>
  <c r="D93" i="28"/>
  <c r="E93" i="28" s="1"/>
  <c r="D94" i="28"/>
  <c r="E94" i="28"/>
  <c r="D95" i="28"/>
  <c r="E95" i="28"/>
  <c r="D96" i="28"/>
  <c r="E96" i="28"/>
  <c r="D97" i="28"/>
  <c r="E97" i="28" s="1"/>
  <c r="D98" i="28"/>
  <c r="E98" i="28" s="1"/>
  <c r="D99" i="28"/>
  <c r="E99" i="28"/>
  <c r="D100" i="28"/>
  <c r="E100" i="28" s="1"/>
  <c r="D101" i="28"/>
  <c r="E101" i="28" s="1"/>
  <c r="D102" i="28"/>
  <c r="E102" i="28"/>
  <c r="D40" i="28"/>
  <c r="E40" i="28"/>
  <c r="D41" i="28"/>
  <c r="E41" i="28"/>
  <c r="D42" i="28"/>
  <c r="E42" i="28" s="1"/>
  <c r="D43" i="28"/>
  <c r="E43" i="28" s="1"/>
  <c r="D44" i="28"/>
  <c r="E44" i="28"/>
  <c r="D45" i="28"/>
  <c r="E45" i="28" s="1"/>
  <c r="D46" i="28"/>
  <c r="E46" i="28" s="1"/>
  <c r="D47" i="28"/>
  <c r="E47" i="28"/>
  <c r="D48" i="28"/>
  <c r="E48" i="28"/>
  <c r="D49" i="28"/>
  <c r="E49" i="28"/>
  <c r="D50" i="28"/>
  <c r="E50" i="28" s="1"/>
  <c r="D51" i="28"/>
  <c r="E51" i="28" s="1"/>
  <c r="D52" i="28"/>
  <c r="E52" i="28"/>
  <c r="D53" i="28"/>
  <c r="E53" i="28" s="1"/>
  <c r="D54" i="28"/>
  <c r="E54" i="28" s="1"/>
  <c r="D55" i="28"/>
  <c r="E55" i="28"/>
  <c r="D56" i="28"/>
  <c r="E56" i="28"/>
  <c r="D57" i="28"/>
  <c r="E57" i="28"/>
  <c r="D58" i="28"/>
  <c r="E58" i="28" s="1"/>
  <c r="D59" i="28"/>
  <c r="E59" i="28"/>
  <c r="D60" i="28"/>
  <c r="E60" i="28" s="1"/>
  <c r="D61" i="28"/>
  <c r="E61" i="28"/>
  <c r="D62" i="28"/>
  <c r="E62" i="28" s="1"/>
  <c r="D63" i="28"/>
  <c r="E63" i="28"/>
  <c r="D64" i="28"/>
  <c r="E64" i="28" s="1"/>
  <c r="D65" i="28"/>
  <c r="E65" i="28" s="1"/>
  <c r="D66" i="28"/>
  <c r="E66" i="28" s="1"/>
  <c r="D67" i="28"/>
  <c r="E67" i="28" s="1"/>
  <c r="D68" i="28"/>
  <c r="E68" i="28" s="1"/>
  <c r="D69" i="28"/>
  <c r="E69" i="28" s="1"/>
  <c r="D70" i="28"/>
  <c r="E70" i="28" s="1"/>
  <c r="D71" i="28"/>
  <c r="E71" i="28" s="1"/>
  <c r="D72" i="28"/>
  <c r="E72" i="28" s="1"/>
  <c r="D73" i="28"/>
  <c r="E73" i="28" s="1"/>
  <c r="D74" i="28"/>
  <c r="E74" i="28" s="1"/>
  <c r="D75" i="28"/>
  <c r="E75" i="28" s="1"/>
  <c r="D76" i="28"/>
  <c r="E76" i="28" s="1"/>
  <c r="D38" i="28"/>
  <c r="E38" i="28" s="1"/>
  <c r="D32" i="28"/>
  <c r="E32" i="28" s="1"/>
  <c r="D33" i="28"/>
  <c r="E33" i="28" s="1"/>
  <c r="D34" i="28"/>
  <c r="E34" i="28" s="1"/>
  <c r="D35" i="28"/>
  <c r="E35" i="28"/>
  <c r="D36" i="28"/>
  <c r="E36" i="28" s="1"/>
  <c r="D37" i="28"/>
  <c r="E37" i="28" s="1"/>
  <c r="D11" i="28"/>
  <c r="E11" i="28" s="1"/>
  <c r="D12" i="28"/>
  <c r="E12" i="28" s="1"/>
  <c r="D13" i="28"/>
  <c r="E13" i="28" s="1"/>
  <c r="D14" i="28"/>
  <c r="E14" i="28" s="1"/>
  <c r="D15" i="28"/>
  <c r="E15" i="28" s="1"/>
  <c r="D16" i="28"/>
  <c r="E16" i="28" s="1"/>
  <c r="D17" i="28"/>
  <c r="E17" i="28" s="1"/>
  <c r="D18" i="28"/>
  <c r="E18" i="28" s="1"/>
  <c r="D19" i="28"/>
  <c r="E19" i="28" s="1"/>
  <c r="D20" i="28"/>
  <c r="E20" i="28" s="1"/>
  <c r="D21" i="28"/>
  <c r="E21" i="28" s="1"/>
  <c r="D22" i="28"/>
  <c r="E22" i="28"/>
  <c r="D23" i="28"/>
  <c r="E23" i="28" s="1"/>
  <c r="D24" i="28"/>
  <c r="E24" i="28" s="1"/>
  <c r="D25" i="28"/>
  <c r="E25" i="28" s="1"/>
  <c r="D26" i="28"/>
  <c r="E26" i="28" s="1"/>
  <c r="D27" i="28"/>
  <c r="E27" i="28" s="1"/>
  <c r="D28" i="28"/>
  <c r="E28" i="28" s="1"/>
  <c r="D29" i="28"/>
  <c r="E29" i="28" s="1"/>
  <c r="D30" i="28"/>
  <c r="E30" i="28" s="1"/>
  <c r="D31" i="28"/>
  <c r="E31" i="28" s="1"/>
  <c r="D10" i="28"/>
  <c r="E10" i="28" s="1"/>
  <c r="D9" i="28"/>
  <c r="E9" i="28" s="1"/>
  <c r="D113" i="28"/>
  <c r="E113" i="28" s="1"/>
  <c r="D39" i="28"/>
  <c r="E39" i="28" s="1"/>
  <c r="D8" i="28"/>
  <c r="E8" i="28" s="1"/>
  <c r="D8" i="25"/>
  <c r="E8" i="25" s="1"/>
  <c r="D74" i="25"/>
  <c r="E74" i="25" s="1"/>
  <c r="D75" i="25"/>
  <c r="E75" i="25" s="1"/>
  <c r="D76" i="25"/>
  <c r="E76" i="25" s="1"/>
  <c r="D77" i="25"/>
  <c r="E77" i="25" s="1"/>
  <c r="D78" i="25"/>
  <c r="E78" i="25" s="1"/>
  <c r="D79" i="25"/>
  <c r="E79" i="25" s="1"/>
  <c r="D80" i="25"/>
  <c r="E80" i="25" s="1"/>
  <c r="D81" i="25"/>
  <c r="E81" i="25" s="1"/>
  <c r="D82" i="25"/>
  <c r="E82" i="25" s="1"/>
  <c r="D83" i="25"/>
  <c r="E83" i="25" s="1"/>
  <c r="D84" i="25"/>
  <c r="E84" i="25" s="1"/>
  <c r="D85" i="25"/>
  <c r="E85" i="25" s="1"/>
  <c r="D86" i="25"/>
  <c r="E86" i="25" s="1"/>
  <c r="D87" i="25"/>
  <c r="E87" i="25" s="1"/>
  <c r="D88" i="25"/>
  <c r="E88" i="25" s="1"/>
  <c r="D89" i="25"/>
  <c r="E89" i="25" s="1"/>
  <c r="D90" i="25"/>
  <c r="E90" i="25" s="1"/>
  <c r="D91" i="25"/>
  <c r="E91" i="25" s="1"/>
  <c r="D92" i="25"/>
  <c r="E92" i="25" s="1"/>
  <c r="D93" i="25"/>
  <c r="E93" i="25" s="1"/>
  <c r="D12" i="25"/>
  <c r="E12" i="25" s="1"/>
  <c r="D13" i="25"/>
  <c r="E13" i="25" s="1"/>
  <c r="D14" i="25"/>
  <c r="E14" i="25" s="1"/>
  <c r="D15" i="25"/>
  <c r="E15" i="25" s="1"/>
  <c r="D16" i="25"/>
  <c r="E16" i="25" s="1"/>
  <c r="D17" i="25"/>
  <c r="E17" i="25" s="1"/>
  <c r="D18" i="25"/>
  <c r="E18" i="25" s="1"/>
  <c r="D19" i="25"/>
  <c r="E19" i="25" s="1"/>
  <c r="D20" i="25"/>
  <c r="E20" i="25" s="1"/>
  <c r="D21" i="25"/>
  <c r="E21" i="25" s="1"/>
  <c r="D22" i="25"/>
  <c r="E22" i="25" s="1"/>
  <c r="D23" i="25"/>
  <c r="E23" i="25" s="1"/>
  <c r="D24" i="25"/>
  <c r="E24" i="25" s="1"/>
  <c r="D25" i="25"/>
  <c r="E25" i="25" s="1"/>
  <c r="D26" i="25"/>
  <c r="E26" i="25" s="1"/>
  <c r="D27" i="25"/>
  <c r="E27" i="25" s="1"/>
  <c r="D28" i="25"/>
  <c r="E28" i="25" s="1"/>
  <c r="D29" i="25"/>
  <c r="E29" i="25" s="1"/>
  <c r="D30" i="25"/>
  <c r="E30" i="25" s="1"/>
  <c r="D31" i="25"/>
  <c r="E31" i="25" s="1"/>
  <c r="D32" i="25"/>
  <c r="E32" i="25" s="1"/>
  <c r="D33" i="25"/>
  <c r="E33" i="25" s="1"/>
  <c r="D34" i="25"/>
  <c r="E34" i="25" s="1"/>
  <c r="D35" i="25"/>
  <c r="E35" i="25" s="1"/>
  <c r="D36" i="25"/>
  <c r="E36" i="25" s="1"/>
  <c r="D37" i="25"/>
  <c r="E37" i="25" s="1"/>
  <c r="D38" i="25"/>
  <c r="E38" i="25" s="1"/>
  <c r="D39" i="25"/>
  <c r="E39" i="25" s="1"/>
  <c r="D40" i="25"/>
  <c r="E40" i="25" s="1"/>
  <c r="D41" i="25"/>
  <c r="E41" i="25" s="1"/>
  <c r="D42" i="25"/>
  <c r="E42" i="25" s="1"/>
  <c r="D43" i="25"/>
  <c r="E43" i="25" s="1"/>
  <c r="D44" i="25"/>
  <c r="E44" i="25" s="1"/>
  <c r="D45" i="25"/>
  <c r="E45" i="25" s="1"/>
  <c r="D46" i="25"/>
  <c r="E46" i="25" s="1"/>
  <c r="D47" i="25"/>
  <c r="E47" i="25" s="1"/>
  <c r="D48" i="25"/>
  <c r="E48" i="25" s="1"/>
  <c r="D49" i="25"/>
  <c r="E49" i="25" s="1"/>
  <c r="D50" i="25"/>
  <c r="E50" i="25" s="1"/>
  <c r="D51" i="25"/>
  <c r="E51" i="25" s="1"/>
  <c r="D52" i="25"/>
  <c r="E52" i="25" s="1"/>
  <c r="D53" i="25"/>
  <c r="E53" i="25" s="1"/>
  <c r="D54" i="25"/>
  <c r="E54" i="25" s="1"/>
  <c r="D55" i="25"/>
  <c r="E55" i="25" s="1"/>
  <c r="D56" i="25"/>
  <c r="E56" i="25" s="1"/>
  <c r="D57" i="25"/>
  <c r="E57" i="25" s="1"/>
  <c r="D58" i="25"/>
  <c r="E58" i="25" s="1"/>
  <c r="D59" i="25"/>
  <c r="E59" i="25" s="1"/>
  <c r="D60" i="25"/>
  <c r="E60" i="25" s="1"/>
  <c r="D61" i="25"/>
  <c r="E61" i="25" s="1"/>
  <c r="D62" i="25"/>
  <c r="E62" i="25" s="1"/>
  <c r="D63" i="25"/>
  <c r="E63" i="25" s="1"/>
  <c r="D64" i="25"/>
  <c r="E64" i="25" s="1"/>
  <c r="D65" i="25"/>
  <c r="E65" i="25" s="1"/>
  <c r="D66" i="25"/>
  <c r="E66" i="25" s="1"/>
  <c r="D67" i="25"/>
  <c r="E67" i="25" s="1"/>
  <c r="D68" i="25"/>
  <c r="E68" i="25" s="1"/>
  <c r="D69" i="25"/>
  <c r="E69" i="25" s="1"/>
  <c r="D70" i="25"/>
  <c r="E70" i="25" s="1"/>
  <c r="D71" i="25"/>
  <c r="E71" i="25" s="1"/>
  <c r="D72" i="25"/>
  <c r="E72" i="25" s="1"/>
  <c r="D73" i="25"/>
  <c r="E73" i="25" s="1"/>
  <c r="D9" i="24"/>
  <c r="E9" i="24" s="1"/>
  <c r="D10" i="24"/>
  <c r="E10" i="24" s="1"/>
  <c r="D11" i="24"/>
  <c r="E11" i="24" s="1"/>
  <c r="D12" i="24"/>
  <c r="E12" i="24" s="1"/>
  <c r="D13" i="24"/>
  <c r="E13" i="24" s="1"/>
  <c r="D14" i="24"/>
  <c r="E14" i="24" s="1"/>
  <c r="D16" i="24"/>
  <c r="E16" i="24" s="1"/>
  <c r="D49" i="24"/>
  <c r="E49" i="24" s="1"/>
  <c r="D50" i="24"/>
  <c r="E50" i="24"/>
  <c r="D51" i="24"/>
  <c r="E51" i="24"/>
  <c r="D20" i="24"/>
  <c r="E20" i="24" s="1"/>
  <c r="D21" i="24"/>
  <c r="E21" i="24" s="1"/>
  <c r="D22" i="24"/>
  <c r="E22" i="24" s="1"/>
  <c r="D23" i="24"/>
  <c r="E23" i="24" s="1"/>
  <c r="D24" i="24"/>
  <c r="E24" i="24" s="1"/>
  <c r="D25" i="24"/>
  <c r="E25" i="24" s="1"/>
  <c r="D26" i="24"/>
  <c r="E26" i="24" s="1"/>
  <c r="D27" i="24"/>
  <c r="E27" i="24" s="1"/>
  <c r="D28" i="24"/>
  <c r="E28" i="24" s="1"/>
  <c r="D29" i="24"/>
  <c r="E29" i="24" s="1"/>
  <c r="D30" i="24"/>
  <c r="E30" i="24" s="1"/>
  <c r="D31" i="24"/>
  <c r="E31" i="24" s="1"/>
  <c r="D32" i="24"/>
  <c r="E32" i="24" s="1"/>
  <c r="D33" i="24"/>
  <c r="E33" i="24" s="1"/>
  <c r="D34" i="24"/>
  <c r="E34" i="24" s="1"/>
  <c r="D35" i="24"/>
  <c r="E35" i="24" s="1"/>
  <c r="D36" i="24"/>
  <c r="E36" i="24" s="1"/>
  <c r="D37" i="24"/>
  <c r="E37" i="24" s="1"/>
  <c r="D38" i="24"/>
  <c r="E38" i="24" s="1"/>
  <c r="D39" i="24"/>
  <c r="E39" i="24" s="1"/>
  <c r="D40" i="24"/>
  <c r="E40" i="24" s="1"/>
  <c r="D41" i="24"/>
  <c r="E41" i="24" s="1"/>
  <c r="D42" i="24"/>
  <c r="E42" i="24" s="1"/>
  <c r="D43" i="24"/>
  <c r="E43" i="24" s="1"/>
  <c r="D44" i="24"/>
  <c r="E44" i="24" s="1"/>
  <c r="D45" i="24"/>
  <c r="E45" i="24" s="1"/>
  <c r="D46" i="24"/>
  <c r="E46" i="24" s="1"/>
  <c r="D47" i="24"/>
  <c r="E47" i="24" s="1"/>
  <c r="D48" i="24"/>
  <c r="E48" i="24" s="1"/>
  <c r="D52" i="24"/>
  <c r="E52" i="24" s="1"/>
  <c r="D53" i="24"/>
  <c r="E53" i="24" s="1"/>
  <c r="D19" i="24"/>
  <c r="E19" i="24" s="1"/>
  <c r="D18" i="24"/>
  <c r="E18" i="24" s="1"/>
  <c r="D94" i="27"/>
  <c r="E94" i="27" s="1"/>
  <c r="D23" i="27"/>
  <c r="E23" i="27" s="1"/>
  <c r="D22" i="27"/>
  <c r="E22" i="27" s="1"/>
  <c r="D21" i="27"/>
  <c r="E21" i="27" s="1"/>
  <c r="D20" i="27"/>
  <c r="E20" i="27" s="1"/>
  <c r="D8" i="27"/>
  <c r="E8" i="27" s="1"/>
  <c r="D94" i="26"/>
  <c r="E94" i="26" s="1"/>
  <c r="D21" i="26"/>
  <c r="E21" i="26" s="1"/>
  <c r="D20" i="26"/>
  <c r="E20" i="26" s="1"/>
  <c r="D8" i="26"/>
  <c r="E8" i="26" s="1"/>
  <c r="D94" i="25"/>
  <c r="E94" i="25" s="1"/>
  <c r="D11" i="25"/>
  <c r="E11" i="25" s="1"/>
  <c r="D10" i="25"/>
  <c r="E10" i="25" s="1"/>
  <c r="D9" i="25"/>
  <c r="E9" i="25" s="1"/>
  <c r="D17" i="24"/>
  <c r="E17" i="24" s="1"/>
  <c r="D15" i="24"/>
  <c r="E15" i="24" s="1"/>
  <c r="D28" i="22"/>
  <c r="E28" i="22" s="1"/>
  <c r="D29" i="22"/>
  <c r="E29" i="22" s="1"/>
  <c r="D30" i="22"/>
  <c r="E30" i="22"/>
  <c r="D32" i="22"/>
  <c r="E32" i="22" s="1"/>
  <c r="D25" i="22"/>
  <c r="E25" i="22" s="1"/>
  <c r="D26" i="22"/>
  <c r="E26" i="22" s="1"/>
  <c r="D9" i="22"/>
  <c r="E9" i="22" s="1"/>
  <c r="D10" i="22"/>
  <c r="E10" i="22" s="1"/>
  <c r="D11" i="22"/>
  <c r="E11" i="22" s="1"/>
  <c r="D12" i="22"/>
  <c r="E12" i="22" s="1"/>
  <c r="D13" i="22"/>
  <c r="E13" i="22" s="1"/>
  <c r="D14" i="22"/>
  <c r="E14" i="22" s="1"/>
  <c r="D15" i="22"/>
  <c r="E15" i="22" s="1"/>
  <c r="D16" i="22"/>
  <c r="E16" i="22" s="1"/>
  <c r="D17" i="22"/>
  <c r="E17" i="22" s="1"/>
  <c r="D18" i="22"/>
  <c r="E18" i="22" s="1"/>
  <c r="D19" i="22"/>
  <c r="E19" i="22" s="1"/>
  <c r="D20" i="22"/>
  <c r="E20" i="22" s="1"/>
  <c r="D21" i="22"/>
  <c r="E21" i="22" s="1"/>
  <c r="D22" i="22"/>
  <c r="E22" i="22" s="1"/>
  <c r="D23" i="22"/>
  <c r="E23" i="22" s="1"/>
  <c r="D24" i="22"/>
  <c r="E24" i="22" s="1"/>
  <c r="D27" i="22"/>
  <c r="E27" i="22" s="1"/>
  <c r="D22" i="21"/>
  <c r="E22" i="21" s="1"/>
  <c r="D33" i="21"/>
  <c r="E33" i="21" s="1"/>
  <c r="D24" i="21"/>
  <c r="E24" i="21"/>
  <c r="D25" i="21"/>
  <c r="E25" i="21" s="1"/>
  <c r="D26" i="21"/>
  <c r="E26" i="21"/>
  <c r="D27" i="21"/>
  <c r="E27" i="21" s="1"/>
  <c r="D28" i="21"/>
  <c r="E28" i="21"/>
  <c r="D29" i="21"/>
  <c r="E29" i="21" s="1"/>
  <c r="D30" i="21"/>
  <c r="E30" i="21" s="1"/>
  <c r="D31" i="21"/>
  <c r="E31" i="21" s="1"/>
  <c r="D32" i="21"/>
  <c r="E32" i="21"/>
  <c r="D9" i="21"/>
  <c r="E9" i="21" s="1"/>
  <c r="D10" i="21"/>
  <c r="E10" i="21" s="1"/>
  <c r="D11" i="21"/>
  <c r="E11" i="21" s="1"/>
  <c r="D12" i="21"/>
  <c r="E12" i="21" s="1"/>
  <c r="D13" i="21"/>
  <c r="E13" i="21" s="1"/>
  <c r="D14" i="21"/>
  <c r="E14" i="21" s="1"/>
  <c r="D15" i="21"/>
  <c r="E15" i="21" s="1"/>
  <c r="D16" i="21"/>
  <c r="E16" i="21" s="1"/>
  <c r="D17" i="21"/>
  <c r="E17" i="21" s="1"/>
  <c r="D18" i="21"/>
  <c r="E18" i="21" s="1"/>
  <c r="D19" i="21"/>
  <c r="E19" i="21" s="1"/>
  <c r="D20" i="21"/>
  <c r="E20" i="21" s="1"/>
  <c r="D21" i="21"/>
  <c r="E21" i="21" s="1"/>
  <c r="D20" i="19"/>
  <c r="E20" i="19" s="1"/>
  <c r="D21" i="19"/>
  <c r="E21" i="19" s="1"/>
  <c r="D22" i="19"/>
  <c r="E22" i="19"/>
  <c r="D23" i="19"/>
  <c r="E23" i="19"/>
  <c r="D24" i="19"/>
  <c r="E24" i="19"/>
  <c r="D25" i="19"/>
  <c r="E25" i="19" s="1"/>
  <c r="D26" i="19"/>
  <c r="E26" i="19"/>
  <c r="D19" i="19"/>
  <c r="E19" i="19" s="1"/>
  <c r="D9" i="19"/>
  <c r="E9" i="19" s="1"/>
  <c r="D10" i="19"/>
  <c r="E10" i="19" s="1"/>
  <c r="D11" i="19"/>
  <c r="E11" i="19" s="1"/>
  <c r="D12" i="19"/>
  <c r="E12" i="19"/>
  <c r="D13" i="19"/>
  <c r="E13" i="19" s="1"/>
  <c r="D14" i="19"/>
  <c r="E14" i="19"/>
  <c r="D15" i="19"/>
  <c r="E15" i="19" s="1"/>
  <c r="D16" i="19"/>
  <c r="E16" i="19" s="1"/>
  <c r="D17" i="19"/>
  <c r="E17" i="19" s="1"/>
  <c r="D18" i="19"/>
  <c r="E18" i="19"/>
  <c r="E8" i="19"/>
  <c r="D20" i="20"/>
  <c r="E20" i="20" s="1"/>
  <c r="D17" i="16" s="1"/>
  <c r="D21" i="20"/>
  <c r="E21" i="20" s="1"/>
  <c r="D18" i="16" s="1"/>
  <c r="D22" i="20"/>
  <c r="E22" i="20" s="1"/>
  <c r="D19" i="16" s="1"/>
  <c r="D23" i="20"/>
  <c r="E23" i="20" s="1"/>
  <c r="D20" i="16" s="1"/>
  <c r="D24" i="20"/>
  <c r="E24" i="20" s="1"/>
  <c r="D21" i="16" s="1"/>
  <c r="D25" i="20"/>
  <c r="E25" i="20" s="1"/>
  <c r="D22" i="16" s="1"/>
  <c r="D11" i="20"/>
  <c r="E11" i="20" s="1"/>
  <c r="D8" i="16" s="1"/>
  <c r="D12" i="20"/>
  <c r="E12" i="20" s="1"/>
  <c r="D9" i="16" s="1"/>
  <c r="D13" i="20"/>
  <c r="E13" i="20" s="1"/>
  <c r="D10" i="16" s="1"/>
  <c r="D14" i="20"/>
  <c r="E14" i="20" s="1"/>
  <c r="D11" i="16" s="1"/>
  <c r="D15" i="20"/>
  <c r="E15" i="20" s="1"/>
  <c r="D12" i="16" s="1"/>
  <c r="D16" i="20"/>
  <c r="E16" i="20" s="1"/>
  <c r="D13" i="16" s="1"/>
  <c r="D17" i="20"/>
  <c r="E17" i="20" s="1"/>
  <c r="D14" i="16" s="1"/>
  <c r="D18" i="20"/>
  <c r="E18" i="20" s="1"/>
  <c r="D15" i="16" s="1"/>
  <c r="D9" i="20"/>
  <c r="E9" i="20" s="1"/>
  <c r="D6" i="16" s="1"/>
  <c r="D10" i="20"/>
  <c r="E10" i="20"/>
  <c r="D7" i="16" s="1"/>
  <c r="D33" i="22"/>
  <c r="E33" i="22" s="1"/>
  <c r="D31" i="22"/>
  <c r="E31" i="22" s="1"/>
  <c r="D8" i="22"/>
  <c r="E8" i="22" s="1"/>
  <c r="D23" i="21"/>
  <c r="E23" i="21" s="1"/>
  <c r="D8" i="21"/>
  <c r="E8" i="21" s="1"/>
  <c r="D26" i="20"/>
  <c r="E26" i="20" s="1"/>
  <c r="D23" i="16" s="1"/>
  <c r="D19" i="20"/>
  <c r="E19" i="20" s="1"/>
  <c r="D16" i="16" s="1"/>
  <c r="D8" i="20"/>
  <c r="E8" i="20" s="1"/>
  <c r="D5" i="16" s="1"/>
  <c r="J29" i="17"/>
  <c r="J30" i="17" s="1"/>
  <c r="W41" i="17" l="1"/>
  <c r="O90" i="17"/>
  <c r="AB90" i="17" s="1"/>
  <c r="W29" i="17"/>
  <c r="D14" i="37"/>
  <c r="D15" i="37" s="1"/>
  <c r="D16" i="37" s="1"/>
  <c r="D17" i="37" s="1"/>
  <c r="D18" i="37" s="1"/>
  <c r="D19" i="37" s="1"/>
  <c r="W58" i="17"/>
  <c r="J53" i="17"/>
  <c r="E5" i="15"/>
  <c r="E6" i="15"/>
  <c r="E7" i="15"/>
  <c r="E16" i="15"/>
  <c r="E4" i="15"/>
  <c r="C16" i="15"/>
  <c r="C4" i="15"/>
  <c r="W53" i="17" l="1"/>
  <c r="J68" i="17"/>
  <c r="E14" i="37"/>
  <c r="W68" i="17" s="1"/>
  <c r="W30" i="17"/>
  <c r="J90" i="17"/>
  <c r="J97" i="17" s="1"/>
  <c r="W42" i="17"/>
  <c r="D8" i="37"/>
  <c r="E15" i="37"/>
  <c r="W69" i="17" s="1"/>
  <c r="J69" i="17"/>
  <c r="F9" i="1"/>
  <c r="G9" i="1" s="1"/>
  <c r="F10" i="1"/>
  <c r="G10" i="1" s="1"/>
  <c r="F12" i="1"/>
  <c r="G12" i="1" s="1"/>
  <c r="F13" i="1"/>
  <c r="G13" i="1" s="1"/>
  <c r="F11" i="1"/>
  <c r="G11" i="1" s="1"/>
  <c r="F15" i="1"/>
  <c r="G15" i="1" s="1"/>
  <c r="F16" i="1"/>
  <c r="G16" i="1" s="1"/>
  <c r="F17" i="1"/>
  <c r="G17" i="1" s="1"/>
  <c r="F18" i="1"/>
  <c r="G18" i="1" s="1"/>
  <c r="F19" i="1"/>
  <c r="G19" i="1" s="1"/>
  <c r="F20" i="1"/>
  <c r="G20" i="1" s="1"/>
  <c r="D9" i="1"/>
  <c r="C7" i="20" s="1"/>
  <c r="C4" i="16" s="1"/>
  <c r="D11" i="1"/>
  <c r="C7" i="22" s="1"/>
  <c r="D20" i="1"/>
  <c r="C7" i="31" s="1"/>
  <c r="D19" i="1"/>
  <c r="D18" i="1"/>
  <c r="D17" i="1"/>
  <c r="D16" i="1"/>
  <c r="D15" i="1"/>
  <c r="D12" i="1"/>
  <c r="C7" i="24" s="1"/>
  <c r="D13" i="1"/>
  <c r="C7" i="25" s="1"/>
  <c r="D10" i="1"/>
  <c r="C7" i="21" s="1"/>
  <c r="C7" i="19"/>
  <c r="W97" i="17" l="1"/>
  <c r="W90" i="17"/>
  <c r="W54" i="17"/>
  <c r="E16" i="37"/>
  <c r="W70" i="17" s="1"/>
  <c r="J70" i="17"/>
  <c r="C7" i="30"/>
  <c r="D15" i="15"/>
  <c r="D11" i="15"/>
  <c r="C7" i="28"/>
  <c r="J7" i="28" s="1"/>
  <c r="D12" i="15"/>
  <c r="C7" i="26"/>
  <c r="J7" i="26" s="1"/>
  <c r="D13" i="15"/>
  <c r="C7" i="27"/>
  <c r="J7" i="27" s="1"/>
  <c r="C7" i="29"/>
  <c r="J7" i="29" s="1"/>
  <c r="D14" i="15"/>
  <c r="J7" i="34"/>
  <c r="D7" i="34"/>
  <c r="E7" i="34" s="1"/>
  <c r="H12" i="1"/>
  <c r="D8" i="15"/>
  <c r="J7" i="31"/>
  <c r="D16" i="15"/>
  <c r="J7" i="30"/>
  <c r="H18" i="1"/>
  <c r="F14" i="15" s="1"/>
  <c r="H17" i="1"/>
  <c r="F13" i="15" s="1"/>
  <c r="H16" i="1"/>
  <c r="F12" i="15" s="1"/>
  <c r="H15" i="1"/>
  <c r="H13" i="1"/>
  <c r="F9" i="15" s="1"/>
  <c r="J7" i="25"/>
  <c r="D9" i="15"/>
  <c r="H11" i="1"/>
  <c r="I11" i="1" s="1"/>
  <c r="J7" i="22"/>
  <c r="D7" i="15"/>
  <c r="J7" i="21"/>
  <c r="D6" i="15"/>
  <c r="H9" i="1"/>
  <c r="I9" i="1" s="1"/>
  <c r="J7" i="20"/>
  <c r="D5" i="15"/>
  <c r="J7" i="19"/>
  <c r="D4" i="15"/>
  <c r="H19" i="1"/>
  <c r="F15" i="15" s="1"/>
  <c r="H10" i="1"/>
  <c r="I10" i="1" s="1"/>
  <c r="H20" i="1"/>
  <c r="E17" i="37" l="1"/>
  <c r="W71" i="17" s="1"/>
  <c r="J71" i="17"/>
  <c r="I20" i="1"/>
  <c r="I18" i="1"/>
  <c r="G14" i="15" s="1"/>
  <c r="I19" i="1"/>
  <c r="G15" i="15" s="1"/>
  <c r="F8" i="15"/>
  <c r="I12" i="1"/>
  <c r="G8" i="15" s="1"/>
  <c r="I17" i="1"/>
  <c r="G13" i="15" s="1"/>
  <c r="I16" i="1"/>
  <c r="G12" i="15" s="1"/>
  <c r="I13" i="1"/>
  <c r="G9" i="15" s="1"/>
  <c r="F11" i="15"/>
  <c r="I15" i="1"/>
  <c r="D7" i="24"/>
  <c r="E7" i="24" s="1"/>
  <c r="J7" i="24"/>
  <c r="F16" i="15"/>
  <c r="D7" i="31"/>
  <c r="E7" i="31" s="1"/>
  <c r="D7" i="30"/>
  <c r="E7" i="30" s="1"/>
  <c r="D7" i="29"/>
  <c r="E7" i="29" s="1"/>
  <c r="D7" i="27"/>
  <c r="E7" i="27" s="1"/>
  <c r="D7" i="26"/>
  <c r="E7" i="26" s="1"/>
  <c r="D7" i="28"/>
  <c r="E7" i="28" s="1"/>
  <c r="D7" i="25"/>
  <c r="E7" i="25" s="1"/>
  <c r="D7" i="22"/>
  <c r="E7" i="22" s="1"/>
  <c r="F7" i="15"/>
  <c r="F6" i="15"/>
  <c r="D7" i="21"/>
  <c r="E7" i="21" s="1"/>
  <c r="D7" i="20"/>
  <c r="E7" i="20" s="1"/>
  <c r="D4" i="16" s="1"/>
  <c r="F5" i="15"/>
  <c r="D7" i="19"/>
  <c r="E7" i="19" s="1"/>
  <c r="F4" i="15"/>
  <c r="E19" i="37" l="1"/>
  <c r="E18" i="37"/>
  <c r="W72" i="17" s="1"/>
  <c r="J72" i="17"/>
  <c r="O92" i="17" s="1"/>
  <c r="G11" i="15"/>
  <c r="F8" i="24"/>
  <c r="G8" i="24" s="1"/>
  <c r="H8" i="24" s="1"/>
  <c r="I8" i="24" s="1"/>
  <c r="F22" i="33"/>
  <c r="F34" i="33" s="1"/>
  <c r="G22" i="33"/>
  <c r="G34" i="33" s="1"/>
  <c r="H22" i="33"/>
  <c r="H34" i="33" s="1"/>
  <c r="E22" i="33"/>
  <c r="E34" i="33" s="1"/>
  <c r="D22" i="33"/>
  <c r="F7" i="21"/>
  <c r="G7" i="21" s="1"/>
  <c r="H7" i="21" s="1"/>
  <c r="I7" i="21" s="1"/>
  <c r="G21" i="33"/>
  <c r="G33" i="33" s="1"/>
  <c r="E21" i="33"/>
  <c r="E33" i="33" s="1"/>
  <c r="D21" i="33"/>
  <c r="F21" i="33"/>
  <c r="F33" i="33" s="1"/>
  <c r="G51" i="34"/>
  <c r="H51" i="34" s="1"/>
  <c r="I51" i="34" s="1"/>
  <c r="G47" i="34"/>
  <c r="H47" i="34" s="1"/>
  <c r="I47" i="34" s="1"/>
  <c r="G43" i="34"/>
  <c r="H43" i="34" s="1"/>
  <c r="I43" i="34" s="1"/>
  <c r="G39" i="34"/>
  <c r="H39" i="34" s="1"/>
  <c r="I39" i="34" s="1"/>
  <c r="G33" i="34"/>
  <c r="H33" i="34" s="1"/>
  <c r="I33" i="34" s="1"/>
  <c r="G29" i="34"/>
  <c r="H29" i="34" s="1"/>
  <c r="I29" i="34" s="1"/>
  <c r="G53" i="34"/>
  <c r="H53" i="34" s="1"/>
  <c r="I53" i="34" s="1"/>
  <c r="G22" i="34"/>
  <c r="H22" i="34" s="1"/>
  <c r="I22" i="34" s="1"/>
  <c r="G18" i="34"/>
  <c r="H18" i="34" s="1"/>
  <c r="I18" i="34" s="1"/>
  <c r="G14" i="34"/>
  <c r="H14" i="34" s="1"/>
  <c r="I14" i="34" s="1"/>
  <c r="G9" i="34"/>
  <c r="H9" i="34" s="1"/>
  <c r="I9" i="34" s="1"/>
  <c r="G49" i="34"/>
  <c r="H49" i="34" s="1"/>
  <c r="I49" i="34" s="1"/>
  <c r="G41" i="34"/>
  <c r="H41" i="34" s="1"/>
  <c r="I41" i="34" s="1"/>
  <c r="G37" i="34"/>
  <c r="H37" i="34" s="1"/>
  <c r="I37" i="34" s="1"/>
  <c r="G35" i="34"/>
  <c r="H35" i="34" s="1"/>
  <c r="I35" i="34" s="1"/>
  <c r="G27" i="34"/>
  <c r="H27" i="34" s="1"/>
  <c r="I27" i="34" s="1"/>
  <c r="G20" i="34"/>
  <c r="H20" i="34" s="1"/>
  <c r="I20" i="34" s="1"/>
  <c r="G16" i="34"/>
  <c r="H16" i="34" s="1"/>
  <c r="I16" i="34" s="1"/>
  <c r="G11" i="34"/>
  <c r="H11" i="34" s="1"/>
  <c r="I11" i="34" s="1"/>
  <c r="G46" i="34"/>
  <c r="H46" i="34" s="1"/>
  <c r="I46" i="34" s="1"/>
  <c r="G42" i="34"/>
  <c r="H42" i="34" s="1"/>
  <c r="I42" i="34" s="1"/>
  <c r="G32" i="34"/>
  <c r="H32" i="34" s="1"/>
  <c r="I32" i="34" s="1"/>
  <c r="G28" i="34"/>
  <c r="H28" i="34" s="1"/>
  <c r="I28" i="34" s="1"/>
  <c r="G21" i="34"/>
  <c r="H21" i="34" s="1"/>
  <c r="I21" i="34" s="1"/>
  <c r="G13" i="34"/>
  <c r="H13" i="34" s="1"/>
  <c r="I13" i="34" s="1"/>
  <c r="G52" i="34"/>
  <c r="H52" i="34" s="1"/>
  <c r="I52" i="34" s="1"/>
  <c r="G48" i="34"/>
  <c r="H48" i="34" s="1"/>
  <c r="I48" i="34" s="1"/>
  <c r="G44" i="34"/>
  <c r="H44" i="34" s="1"/>
  <c r="I44" i="34" s="1"/>
  <c r="G40" i="34"/>
  <c r="H40" i="34" s="1"/>
  <c r="I40" i="34" s="1"/>
  <c r="G34" i="34"/>
  <c r="H34" i="34" s="1"/>
  <c r="I34" i="34" s="1"/>
  <c r="G30" i="34"/>
  <c r="H30" i="34" s="1"/>
  <c r="I30" i="34" s="1"/>
  <c r="G26" i="34"/>
  <c r="H26" i="34" s="1"/>
  <c r="I26" i="34" s="1"/>
  <c r="G23" i="34"/>
  <c r="H23" i="34" s="1"/>
  <c r="I23" i="34" s="1"/>
  <c r="G19" i="34"/>
  <c r="H19" i="34" s="1"/>
  <c r="I19" i="34" s="1"/>
  <c r="G15" i="34"/>
  <c r="H15" i="34" s="1"/>
  <c r="I15" i="34" s="1"/>
  <c r="G10" i="34"/>
  <c r="H10" i="34" s="1"/>
  <c r="I10" i="34" s="1"/>
  <c r="G45" i="34"/>
  <c r="H45" i="34" s="1"/>
  <c r="I45" i="34" s="1"/>
  <c r="G36" i="34"/>
  <c r="H36" i="34" s="1"/>
  <c r="I36" i="34" s="1"/>
  <c r="G31" i="34"/>
  <c r="H31" i="34" s="1"/>
  <c r="I31" i="34" s="1"/>
  <c r="G24" i="34"/>
  <c r="H24" i="34" s="1"/>
  <c r="I24" i="34" s="1"/>
  <c r="G12" i="34"/>
  <c r="H12" i="34" s="1"/>
  <c r="I12" i="34" s="1"/>
  <c r="G50" i="34"/>
  <c r="H50" i="34" s="1"/>
  <c r="I50" i="34" s="1"/>
  <c r="G38" i="34"/>
  <c r="H38" i="34" s="1"/>
  <c r="I38" i="34" s="1"/>
  <c r="G25" i="34"/>
  <c r="H25" i="34" s="1"/>
  <c r="I25" i="34" s="1"/>
  <c r="G17" i="34"/>
  <c r="H17" i="34" s="1"/>
  <c r="I17" i="34" s="1"/>
  <c r="G8" i="34"/>
  <c r="H8" i="34" s="1"/>
  <c r="I8" i="34" s="1"/>
  <c r="G7" i="34"/>
  <c r="H7" i="34" s="1"/>
  <c r="I7" i="34" s="1"/>
  <c r="F7" i="19"/>
  <c r="G7" i="19" s="1"/>
  <c r="H7" i="19" s="1"/>
  <c r="I7" i="19" s="1"/>
  <c r="F45" i="31"/>
  <c r="G45" i="31" s="1"/>
  <c r="F82" i="30"/>
  <c r="G82" i="30" s="1"/>
  <c r="F59" i="29"/>
  <c r="G59" i="29" s="1"/>
  <c r="F77" i="25"/>
  <c r="G77" i="25" s="1"/>
  <c r="H77" i="25" s="1"/>
  <c r="I77" i="25" s="1"/>
  <c r="F91" i="25"/>
  <c r="G91" i="25" s="1"/>
  <c r="H91" i="25" s="1"/>
  <c r="I91" i="25" s="1"/>
  <c r="F23" i="25"/>
  <c r="G23" i="25" s="1"/>
  <c r="H23" i="25" s="1"/>
  <c r="I23" i="25" s="1"/>
  <c r="F36" i="25"/>
  <c r="G36" i="25" s="1"/>
  <c r="H36" i="25" s="1"/>
  <c r="I36" i="25" s="1"/>
  <c r="F47" i="25"/>
  <c r="G47" i="25" s="1"/>
  <c r="H47" i="25" s="1"/>
  <c r="I47" i="25" s="1"/>
  <c r="F69" i="25"/>
  <c r="G69" i="25" s="1"/>
  <c r="H69" i="25" s="1"/>
  <c r="I69" i="25" s="1"/>
  <c r="F10" i="24"/>
  <c r="G10" i="24" s="1"/>
  <c r="H10" i="24" s="1"/>
  <c r="I10" i="24" s="1"/>
  <c r="F14" i="24"/>
  <c r="G14" i="24" s="1"/>
  <c r="H14" i="24" s="1"/>
  <c r="I14" i="24" s="1"/>
  <c r="F76" i="25"/>
  <c r="G76" i="25" s="1"/>
  <c r="H76" i="25" s="1"/>
  <c r="I76" i="25" s="1"/>
  <c r="F20" i="25"/>
  <c r="G20" i="25" s="1"/>
  <c r="H20" i="25" s="1"/>
  <c r="I20" i="25" s="1"/>
  <c r="F46" i="25"/>
  <c r="G46" i="25" s="1"/>
  <c r="H46" i="25" s="1"/>
  <c r="I46" i="25" s="1"/>
  <c r="F18" i="24"/>
  <c r="G18" i="24" s="1"/>
  <c r="H18" i="24" s="1"/>
  <c r="I18" i="24" s="1"/>
  <c r="F17" i="25"/>
  <c r="G17" i="25" s="1"/>
  <c r="H17" i="25" s="1"/>
  <c r="I17" i="25" s="1"/>
  <c r="F63" i="25"/>
  <c r="G63" i="25" s="1"/>
  <c r="H63" i="25" s="1"/>
  <c r="I63" i="25" s="1"/>
  <c r="F26" i="24"/>
  <c r="G26" i="24" s="1"/>
  <c r="H26" i="24" s="1"/>
  <c r="I26" i="24" s="1"/>
  <c r="F42" i="24"/>
  <c r="G42" i="24" s="1"/>
  <c r="H42" i="24" s="1"/>
  <c r="I42" i="24" s="1"/>
  <c r="F82" i="25"/>
  <c r="G82" i="25" s="1"/>
  <c r="H82" i="25" s="1"/>
  <c r="I82" i="25" s="1"/>
  <c r="F16" i="25"/>
  <c r="G16" i="25" s="1"/>
  <c r="H16" i="25" s="1"/>
  <c r="I16" i="25" s="1"/>
  <c r="F33" i="25"/>
  <c r="G33" i="25" s="1"/>
  <c r="H33" i="25" s="1"/>
  <c r="I33" i="25" s="1"/>
  <c r="F55" i="25"/>
  <c r="G55" i="25" s="1"/>
  <c r="H55" i="25" s="1"/>
  <c r="I55" i="25" s="1"/>
  <c r="F64" i="25"/>
  <c r="G64" i="25" s="1"/>
  <c r="H64" i="25" s="1"/>
  <c r="I64" i="25" s="1"/>
  <c r="F27" i="24"/>
  <c r="G27" i="24" s="1"/>
  <c r="H27" i="24" s="1"/>
  <c r="I27" i="24" s="1"/>
  <c r="F35" i="24"/>
  <c r="G35" i="24" s="1"/>
  <c r="H35" i="24" s="1"/>
  <c r="I35" i="24" s="1"/>
  <c r="F43" i="24"/>
  <c r="G43" i="24" s="1"/>
  <c r="H43" i="24" s="1"/>
  <c r="I43" i="24" s="1"/>
  <c r="F15" i="24"/>
  <c r="G15" i="24" s="1"/>
  <c r="H15" i="24" s="1"/>
  <c r="I15" i="24" s="1"/>
  <c r="F13" i="25"/>
  <c r="G13" i="25" s="1"/>
  <c r="H13" i="25" s="1"/>
  <c r="I13" i="25" s="1"/>
  <c r="F39" i="25"/>
  <c r="G39" i="25" s="1"/>
  <c r="H39" i="25" s="1"/>
  <c r="I39" i="25" s="1"/>
  <c r="F70" i="25"/>
  <c r="G70" i="25" s="1"/>
  <c r="H70" i="25" s="1"/>
  <c r="I70" i="25" s="1"/>
  <c r="F78" i="25"/>
  <c r="G78" i="25" s="1"/>
  <c r="H78" i="25" s="1"/>
  <c r="I78" i="25" s="1"/>
  <c r="F32" i="25"/>
  <c r="G32" i="25" s="1"/>
  <c r="H32" i="25" s="1"/>
  <c r="I32" i="25" s="1"/>
  <c r="F61" i="25"/>
  <c r="G61" i="25" s="1"/>
  <c r="H61" i="25" s="1"/>
  <c r="I61" i="25" s="1"/>
  <c r="F24" i="24"/>
  <c r="G24" i="24" s="1"/>
  <c r="H24" i="24" s="1"/>
  <c r="I24" i="24" s="1"/>
  <c r="F40" i="24"/>
  <c r="G40" i="24" s="1"/>
  <c r="H40" i="24" s="1"/>
  <c r="I40" i="24" s="1"/>
  <c r="F7" i="24"/>
  <c r="G7" i="24" s="1"/>
  <c r="H7" i="24" s="1"/>
  <c r="I7" i="24" s="1"/>
  <c r="F85" i="25"/>
  <c r="G85" i="25" s="1"/>
  <c r="H85" i="25" s="1"/>
  <c r="I85" i="25" s="1"/>
  <c r="F27" i="25"/>
  <c r="G27" i="25" s="1"/>
  <c r="H27" i="25" s="1"/>
  <c r="I27" i="25" s="1"/>
  <c r="F58" i="25"/>
  <c r="G58" i="25" s="1"/>
  <c r="H58" i="25" s="1"/>
  <c r="I58" i="25" s="1"/>
  <c r="F12" i="24"/>
  <c r="G12" i="24" s="1"/>
  <c r="H12" i="24" s="1"/>
  <c r="I12" i="24" s="1"/>
  <c r="F86" i="25"/>
  <c r="G86" i="25" s="1"/>
  <c r="H86" i="25" s="1"/>
  <c r="I86" i="25" s="1"/>
  <c r="F75" i="25"/>
  <c r="G75" i="25" s="1"/>
  <c r="H75" i="25" s="1"/>
  <c r="I75" i="25" s="1"/>
  <c r="F50" i="25"/>
  <c r="G50" i="25" s="1"/>
  <c r="H50" i="25" s="1"/>
  <c r="I50" i="25" s="1"/>
  <c r="F34" i="24"/>
  <c r="G34" i="24" s="1"/>
  <c r="H34" i="24" s="1"/>
  <c r="I34" i="24" s="1"/>
  <c r="F90" i="25"/>
  <c r="G90" i="25" s="1"/>
  <c r="H90" i="25" s="1"/>
  <c r="I90" i="25" s="1"/>
  <c r="F51" i="25"/>
  <c r="G51" i="25" s="1"/>
  <c r="H51" i="25" s="1"/>
  <c r="I51" i="25" s="1"/>
  <c r="F23" i="24"/>
  <c r="G23" i="24" s="1"/>
  <c r="H23" i="24" s="1"/>
  <c r="I23" i="24" s="1"/>
  <c r="F31" i="24"/>
  <c r="G31" i="24" s="1"/>
  <c r="H31" i="24" s="1"/>
  <c r="I31" i="24" s="1"/>
  <c r="F47" i="24"/>
  <c r="G47" i="24" s="1"/>
  <c r="H47" i="24" s="1"/>
  <c r="I47" i="24" s="1"/>
  <c r="F48" i="25"/>
  <c r="G48" i="25" s="1"/>
  <c r="H48" i="25" s="1"/>
  <c r="I48" i="25" s="1"/>
  <c r="F19" i="25"/>
  <c r="G19" i="25" s="1"/>
  <c r="H19" i="25" s="1"/>
  <c r="I19" i="25" s="1"/>
  <c r="F32" i="24"/>
  <c r="G32" i="24" s="1"/>
  <c r="H32" i="24" s="1"/>
  <c r="I32" i="24" s="1"/>
  <c r="F74" i="25"/>
  <c r="G74" i="25" s="1"/>
  <c r="H74" i="25" s="1"/>
  <c r="I74" i="25" s="1"/>
  <c r="F21" i="25"/>
  <c r="G21" i="25" s="1"/>
  <c r="H21" i="25" s="1"/>
  <c r="I21" i="25" s="1"/>
  <c r="F34" i="25"/>
  <c r="G34" i="25" s="1"/>
  <c r="H34" i="25" s="1"/>
  <c r="I34" i="25" s="1"/>
  <c r="F67" i="25"/>
  <c r="G67" i="25" s="1"/>
  <c r="H67" i="25" s="1"/>
  <c r="I67" i="25" s="1"/>
  <c r="F13" i="24"/>
  <c r="G13" i="24" s="1"/>
  <c r="H13" i="24" s="1"/>
  <c r="I13" i="24" s="1"/>
  <c r="F15" i="25"/>
  <c r="G15" i="25" s="1"/>
  <c r="H15" i="25" s="1"/>
  <c r="I15" i="25" s="1"/>
  <c r="F72" i="25"/>
  <c r="G72" i="25" s="1"/>
  <c r="H72" i="25" s="1"/>
  <c r="I72" i="25" s="1"/>
  <c r="F54" i="25"/>
  <c r="G54" i="25" s="1"/>
  <c r="H54" i="25" s="1"/>
  <c r="I54" i="25" s="1"/>
  <c r="F38" i="24"/>
  <c r="G38" i="24" s="1"/>
  <c r="H38" i="24" s="1"/>
  <c r="I38" i="24" s="1"/>
  <c r="F8" i="25"/>
  <c r="G8" i="25" s="1"/>
  <c r="H8" i="25" s="1"/>
  <c r="I8" i="25" s="1"/>
  <c r="F93" i="25"/>
  <c r="G93" i="25" s="1"/>
  <c r="H93" i="25" s="1"/>
  <c r="I93" i="25" s="1"/>
  <c r="F31" i="25"/>
  <c r="G31" i="25" s="1"/>
  <c r="H31" i="25" s="1"/>
  <c r="I31" i="25" s="1"/>
  <c r="F53" i="25"/>
  <c r="G53" i="25" s="1"/>
  <c r="H53" i="25" s="1"/>
  <c r="I53" i="25" s="1"/>
  <c r="F62" i="25"/>
  <c r="G62" i="25" s="1"/>
  <c r="H62" i="25" s="1"/>
  <c r="I62" i="25" s="1"/>
  <c r="F25" i="24"/>
  <c r="G25" i="24" s="1"/>
  <c r="H25" i="24" s="1"/>
  <c r="I25" i="24" s="1"/>
  <c r="F33" i="24"/>
  <c r="G33" i="24" s="1"/>
  <c r="H33" i="24" s="1"/>
  <c r="I33" i="24" s="1"/>
  <c r="F41" i="24"/>
  <c r="G41" i="24" s="1"/>
  <c r="H41" i="24" s="1"/>
  <c r="I41" i="24" s="1"/>
  <c r="F52" i="24"/>
  <c r="G52" i="24" s="1"/>
  <c r="H52" i="24" s="1"/>
  <c r="I52" i="24" s="1"/>
  <c r="F89" i="25"/>
  <c r="G89" i="25" s="1"/>
  <c r="H89" i="25" s="1"/>
  <c r="I89" i="25" s="1"/>
  <c r="F35" i="25"/>
  <c r="G35" i="25" s="1"/>
  <c r="H35" i="25" s="1"/>
  <c r="I35" i="25" s="1"/>
  <c r="F66" i="25"/>
  <c r="G66" i="25" s="1"/>
  <c r="H66" i="25" s="1"/>
  <c r="I66" i="25" s="1"/>
  <c r="F17" i="24"/>
  <c r="G17" i="24" s="1"/>
  <c r="H17" i="24" s="1"/>
  <c r="I17" i="24" s="1"/>
  <c r="F28" i="25"/>
  <c r="G28" i="25" s="1"/>
  <c r="H28" i="25" s="1"/>
  <c r="I28" i="25" s="1"/>
  <c r="F56" i="25"/>
  <c r="G56" i="25" s="1"/>
  <c r="H56" i="25" s="1"/>
  <c r="I56" i="25" s="1"/>
  <c r="F50" i="24"/>
  <c r="G50" i="24" s="1"/>
  <c r="H50" i="24" s="1"/>
  <c r="I50" i="24" s="1"/>
  <c r="F36" i="24"/>
  <c r="G36" i="24" s="1"/>
  <c r="H36" i="24" s="1"/>
  <c r="I36" i="24" s="1"/>
  <c r="F80" i="25"/>
  <c r="G80" i="25" s="1"/>
  <c r="H80" i="25" s="1"/>
  <c r="I80" i="25" s="1"/>
  <c r="F12" i="25"/>
  <c r="G12" i="25" s="1"/>
  <c r="H12" i="25" s="1"/>
  <c r="I12" i="25" s="1"/>
  <c r="F25" i="25"/>
  <c r="G25" i="25" s="1"/>
  <c r="H25" i="25" s="1"/>
  <c r="I25" i="25" s="1"/>
  <c r="F38" i="25"/>
  <c r="G38" i="25" s="1"/>
  <c r="H38" i="25" s="1"/>
  <c r="I38" i="25" s="1"/>
  <c r="F49" i="25"/>
  <c r="G49" i="25" s="1"/>
  <c r="H49" i="25" s="1"/>
  <c r="I49" i="25" s="1"/>
  <c r="F71" i="25"/>
  <c r="G71" i="25" s="1"/>
  <c r="H71" i="25" s="1"/>
  <c r="I71" i="25" s="1"/>
  <c r="F11" i="24"/>
  <c r="G11" i="24" s="1"/>
  <c r="H11" i="24" s="1"/>
  <c r="I11" i="24" s="1"/>
  <c r="F19" i="24"/>
  <c r="G19" i="24" s="1"/>
  <c r="H19" i="24" s="1"/>
  <c r="I19" i="24" s="1"/>
  <c r="F81" i="25"/>
  <c r="G81" i="25" s="1"/>
  <c r="H81" i="25" s="1"/>
  <c r="I81" i="25" s="1"/>
  <c r="F24" i="25"/>
  <c r="G24" i="25" s="1"/>
  <c r="H24" i="25" s="1"/>
  <c r="I24" i="25" s="1"/>
  <c r="F59" i="25"/>
  <c r="G59" i="25" s="1"/>
  <c r="H59" i="25" s="1"/>
  <c r="I59" i="25" s="1"/>
  <c r="F10" i="25"/>
  <c r="G10" i="25" s="1"/>
  <c r="H10" i="25" s="1"/>
  <c r="I10" i="25" s="1"/>
  <c r="F30" i="25"/>
  <c r="G30" i="25" s="1"/>
  <c r="H30" i="25" s="1"/>
  <c r="I30" i="25" s="1"/>
  <c r="F49" i="24"/>
  <c r="G49" i="24" s="1"/>
  <c r="H49" i="24" s="1"/>
  <c r="I49" i="24" s="1"/>
  <c r="F30" i="24"/>
  <c r="G30" i="24" s="1"/>
  <c r="H30" i="24" s="1"/>
  <c r="I30" i="24" s="1"/>
  <c r="F46" i="24"/>
  <c r="G46" i="24" s="1"/>
  <c r="H46" i="24" s="1"/>
  <c r="I46" i="24" s="1"/>
  <c r="F87" i="25"/>
  <c r="G87" i="25" s="1"/>
  <c r="H87" i="25" s="1"/>
  <c r="I87" i="25" s="1"/>
  <c r="F18" i="25"/>
  <c r="G18" i="25" s="1"/>
  <c r="H18" i="25" s="1"/>
  <c r="I18" i="25" s="1"/>
  <c r="F42" i="25"/>
  <c r="G42" i="25" s="1"/>
  <c r="H42" i="25" s="1"/>
  <c r="I42" i="25" s="1"/>
  <c r="F57" i="25"/>
  <c r="G57" i="25" s="1"/>
  <c r="H57" i="25" s="1"/>
  <c r="I57" i="25" s="1"/>
  <c r="F21" i="24"/>
  <c r="G21" i="24" s="1"/>
  <c r="H21" i="24" s="1"/>
  <c r="I21" i="24" s="1"/>
  <c r="F29" i="24"/>
  <c r="G29" i="24" s="1"/>
  <c r="H29" i="24" s="1"/>
  <c r="I29" i="24" s="1"/>
  <c r="F37" i="24"/>
  <c r="G37" i="24" s="1"/>
  <c r="H37" i="24" s="1"/>
  <c r="I37" i="24" s="1"/>
  <c r="F45" i="24"/>
  <c r="G45" i="24" s="1"/>
  <c r="H45" i="24" s="1"/>
  <c r="I45" i="24" s="1"/>
  <c r="F79" i="25"/>
  <c r="G79" i="25" s="1"/>
  <c r="H79" i="25" s="1"/>
  <c r="I79" i="25" s="1"/>
  <c r="F22" i="25"/>
  <c r="G22" i="25" s="1"/>
  <c r="H22" i="25" s="1"/>
  <c r="I22" i="25" s="1"/>
  <c r="F44" i="25"/>
  <c r="G44" i="25" s="1"/>
  <c r="H44" i="25" s="1"/>
  <c r="I44" i="25" s="1"/>
  <c r="F20" i="24"/>
  <c r="G20" i="24" s="1"/>
  <c r="H20" i="24" s="1"/>
  <c r="I20" i="24" s="1"/>
  <c r="F83" i="25"/>
  <c r="G83" i="25" s="1"/>
  <c r="H83" i="25" s="1"/>
  <c r="I83" i="25" s="1"/>
  <c r="F43" i="25"/>
  <c r="G43" i="25" s="1"/>
  <c r="H43" i="25" s="1"/>
  <c r="I43" i="25" s="1"/>
  <c r="F65" i="25"/>
  <c r="G65" i="25" s="1"/>
  <c r="H65" i="25" s="1"/>
  <c r="I65" i="25" s="1"/>
  <c r="F28" i="24"/>
  <c r="G28" i="24" s="1"/>
  <c r="H28" i="24" s="1"/>
  <c r="I28" i="24" s="1"/>
  <c r="F44" i="24"/>
  <c r="G44" i="24" s="1"/>
  <c r="H44" i="24" s="1"/>
  <c r="I44" i="24" s="1"/>
  <c r="F14" i="25"/>
  <c r="G14" i="25" s="1"/>
  <c r="H14" i="25" s="1"/>
  <c r="I14" i="25" s="1"/>
  <c r="F40" i="25"/>
  <c r="G40" i="25" s="1"/>
  <c r="H40" i="25" s="1"/>
  <c r="I40" i="25" s="1"/>
  <c r="F73" i="25"/>
  <c r="G73" i="25" s="1"/>
  <c r="H73" i="25" s="1"/>
  <c r="I73" i="25" s="1"/>
  <c r="F11" i="25"/>
  <c r="G11" i="25" s="1"/>
  <c r="H11" i="25" s="1"/>
  <c r="I11" i="25" s="1"/>
  <c r="F37" i="25"/>
  <c r="G37" i="25" s="1"/>
  <c r="H37" i="25" s="1"/>
  <c r="I37" i="25" s="1"/>
  <c r="F68" i="25"/>
  <c r="G68" i="25" s="1"/>
  <c r="H68" i="25" s="1"/>
  <c r="I68" i="25" s="1"/>
  <c r="F51" i="24"/>
  <c r="G51" i="24" s="1"/>
  <c r="H51" i="24" s="1"/>
  <c r="I51" i="24" s="1"/>
  <c r="F53" i="24"/>
  <c r="G53" i="24" s="1"/>
  <c r="H53" i="24" s="1"/>
  <c r="I53" i="24" s="1"/>
  <c r="F29" i="25"/>
  <c r="G29" i="25" s="1"/>
  <c r="H29" i="25" s="1"/>
  <c r="I29" i="25" s="1"/>
  <c r="F60" i="25"/>
  <c r="G60" i="25" s="1"/>
  <c r="H60" i="25" s="1"/>
  <c r="I60" i="25" s="1"/>
  <c r="F39" i="24"/>
  <c r="G39" i="24" s="1"/>
  <c r="H39" i="24" s="1"/>
  <c r="I39" i="24" s="1"/>
  <c r="F84" i="25"/>
  <c r="G84" i="25" s="1"/>
  <c r="H84" i="25" s="1"/>
  <c r="I84" i="25" s="1"/>
  <c r="F26" i="25"/>
  <c r="G26" i="25" s="1"/>
  <c r="H26" i="25" s="1"/>
  <c r="I26" i="25" s="1"/>
  <c r="F94" i="25"/>
  <c r="G94" i="25" s="1"/>
  <c r="H94" i="25" s="1"/>
  <c r="I94" i="25" s="1"/>
  <c r="F52" i="25"/>
  <c r="G52" i="25" s="1"/>
  <c r="H52" i="25" s="1"/>
  <c r="I52" i="25" s="1"/>
  <c r="F16" i="24"/>
  <c r="G16" i="24" s="1"/>
  <c r="H16" i="24" s="1"/>
  <c r="I16" i="24" s="1"/>
  <c r="F48" i="24"/>
  <c r="G48" i="24" s="1"/>
  <c r="H48" i="24" s="1"/>
  <c r="I48" i="24" s="1"/>
  <c r="F88" i="25"/>
  <c r="G88" i="25" s="1"/>
  <c r="H88" i="25" s="1"/>
  <c r="I88" i="25" s="1"/>
  <c r="F45" i="25"/>
  <c r="G45" i="25" s="1"/>
  <c r="H45" i="25" s="1"/>
  <c r="I45" i="25" s="1"/>
  <c r="F9" i="24"/>
  <c r="G9" i="24" s="1"/>
  <c r="H9" i="24" s="1"/>
  <c r="I9" i="24" s="1"/>
  <c r="F9" i="25"/>
  <c r="G9" i="25" s="1"/>
  <c r="H9" i="25" s="1"/>
  <c r="I9" i="25" s="1"/>
  <c r="F41" i="25"/>
  <c r="G41" i="25" s="1"/>
  <c r="H41" i="25" s="1"/>
  <c r="I41" i="25" s="1"/>
  <c r="F92" i="25"/>
  <c r="G92" i="25" s="1"/>
  <c r="H92" i="25" s="1"/>
  <c r="I92" i="25" s="1"/>
  <c r="F22" i="24"/>
  <c r="G22" i="24" s="1"/>
  <c r="H22" i="24" s="1"/>
  <c r="I22" i="24" s="1"/>
  <c r="J54" i="17"/>
  <c r="F26" i="27"/>
  <c r="G26" i="27" s="1"/>
  <c r="H26" i="27" s="1"/>
  <c r="I26" i="27" s="1"/>
  <c r="F30" i="27"/>
  <c r="G30" i="27" s="1"/>
  <c r="H30" i="27" s="1"/>
  <c r="I30" i="27" s="1"/>
  <c r="F34" i="27"/>
  <c r="G34" i="27" s="1"/>
  <c r="H34" i="27" s="1"/>
  <c r="I34" i="27" s="1"/>
  <c r="F38" i="27"/>
  <c r="G38" i="27" s="1"/>
  <c r="H38" i="27" s="1"/>
  <c r="I38" i="27" s="1"/>
  <c r="F42" i="27"/>
  <c r="G42" i="27" s="1"/>
  <c r="H42" i="27" s="1"/>
  <c r="I42" i="27" s="1"/>
  <c r="F46" i="27"/>
  <c r="G46" i="27" s="1"/>
  <c r="H46" i="27" s="1"/>
  <c r="I46" i="27" s="1"/>
  <c r="F50" i="27"/>
  <c r="G50" i="27" s="1"/>
  <c r="H50" i="27" s="1"/>
  <c r="I50" i="27" s="1"/>
  <c r="F54" i="27"/>
  <c r="G54" i="27" s="1"/>
  <c r="H54" i="27" s="1"/>
  <c r="I54" i="27" s="1"/>
  <c r="F58" i="27"/>
  <c r="G58" i="27" s="1"/>
  <c r="H58" i="27" s="1"/>
  <c r="I58" i="27" s="1"/>
  <c r="F62" i="27"/>
  <c r="G62" i="27" s="1"/>
  <c r="H62" i="27" s="1"/>
  <c r="I62" i="27" s="1"/>
  <c r="F66" i="27"/>
  <c r="G66" i="27" s="1"/>
  <c r="H66" i="27" s="1"/>
  <c r="I66" i="27" s="1"/>
  <c r="F70" i="27"/>
  <c r="G70" i="27" s="1"/>
  <c r="H70" i="27" s="1"/>
  <c r="I70" i="27" s="1"/>
  <c r="F74" i="27"/>
  <c r="G74" i="27" s="1"/>
  <c r="H74" i="27" s="1"/>
  <c r="I74" i="27" s="1"/>
  <c r="F78" i="27"/>
  <c r="G78" i="27" s="1"/>
  <c r="H78" i="27" s="1"/>
  <c r="I78" i="27" s="1"/>
  <c r="F17" i="27"/>
  <c r="G17" i="27" s="1"/>
  <c r="H17" i="27" s="1"/>
  <c r="I17" i="27" s="1"/>
  <c r="F13" i="27"/>
  <c r="G13" i="27" s="1"/>
  <c r="H13" i="27" s="1"/>
  <c r="I13" i="27" s="1"/>
  <c r="F15" i="27"/>
  <c r="G15" i="27" s="1"/>
  <c r="H15" i="27" s="1"/>
  <c r="I15" i="27" s="1"/>
  <c r="F10" i="27"/>
  <c r="G10" i="27" s="1"/>
  <c r="H10" i="27" s="1"/>
  <c r="I10" i="27" s="1"/>
  <c r="F8" i="27"/>
  <c r="G8" i="27" s="1"/>
  <c r="H8" i="27" s="1"/>
  <c r="I8" i="27" s="1"/>
  <c r="F25" i="27"/>
  <c r="G25" i="27" s="1"/>
  <c r="H25" i="27" s="1"/>
  <c r="I25" i="27" s="1"/>
  <c r="F29" i="27"/>
  <c r="G29" i="27" s="1"/>
  <c r="H29" i="27" s="1"/>
  <c r="I29" i="27" s="1"/>
  <c r="F33" i="27"/>
  <c r="G33" i="27" s="1"/>
  <c r="H33" i="27" s="1"/>
  <c r="I33" i="27" s="1"/>
  <c r="F37" i="27"/>
  <c r="G37" i="27" s="1"/>
  <c r="H37" i="27" s="1"/>
  <c r="I37" i="27" s="1"/>
  <c r="F41" i="27"/>
  <c r="G41" i="27" s="1"/>
  <c r="H41" i="27" s="1"/>
  <c r="I41" i="27" s="1"/>
  <c r="F45" i="27"/>
  <c r="G45" i="27" s="1"/>
  <c r="H45" i="27" s="1"/>
  <c r="I45" i="27" s="1"/>
  <c r="F49" i="27"/>
  <c r="G49" i="27" s="1"/>
  <c r="H49" i="27" s="1"/>
  <c r="I49" i="27" s="1"/>
  <c r="F53" i="27"/>
  <c r="G53" i="27" s="1"/>
  <c r="H53" i="27" s="1"/>
  <c r="I53" i="27" s="1"/>
  <c r="F57" i="27"/>
  <c r="G57" i="27" s="1"/>
  <c r="H57" i="27" s="1"/>
  <c r="I57" i="27" s="1"/>
  <c r="F61" i="27"/>
  <c r="G61" i="27" s="1"/>
  <c r="H61" i="27" s="1"/>
  <c r="I61" i="27" s="1"/>
  <c r="F65" i="27"/>
  <c r="G65" i="27" s="1"/>
  <c r="H65" i="27" s="1"/>
  <c r="I65" i="27" s="1"/>
  <c r="F69" i="27"/>
  <c r="G69" i="27" s="1"/>
  <c r="H69" i="27" s="1"/>
  <c r="I69" i="27" s="1"/>
  <c r="F73" i="27"/>
  <c r="G73" i="27" s="1"/>
  <c r="H73" i="27" s="1"/>
  <c r="I73" i="27" s="1"/>
  <c r="F77" i="27"/>
  <c r="G77" i="27" s="1"/>
  <c r="H77" i="27" s="1"/>
  <c r="I77" i="27" s="1"/>
  <c r="F81" i="27"/>
  <c r="G81" i="27" s="1"/>
  <c r="H81" i="27" s="1"/>
  <c r="I81" i="27" s="1"/>
  <c r="F82" i="27"/>
  <c r="G82" i="27" s="1"/>
  <c r="H82" i="27" s="1"/>
  <c r="I82" i="27" s="1"/>
  <c r="F83" i="27"/>
  <c r="G83" i="27" s="1"/>
  <c r="H83" i="27" s="1"/>
  <c r="I83" i="27" s="1"/>
  <c r="F84" i="27"/>
  <c r="G84" i="27" s="1"/>
  <c r="H84" i="27" s="1"/>
  <c r="I84" i="27" s="1"/>
  <c r="F85" i="27"/>
  <c r="G85" i="27" s="1"/>
  <c r="H85" i="27" s="1"/>
  <c r="I85" i="27" s="1"/>
  <c r="F86" i="27"/>
  <c r="G86" i="27" s="1"/>
  <c r="H86" i="27" s="1"/>
  <c r="I86" i="27" s="1"/>
  <c r="F87" i="27"/>
  <c r="G87" i="27" s="1"/>
  <c r="H87" i="27" s="1"/>
  <c r="I87" i="27" s="1"/>
  <c r="F88" i="27"/>
  <c r="G88" i="27" s="1"/>
  <c r="H88" i="27" s="1"/>
  <c r="I88" i="27" s="1"/>
  <c r="F89" i="27"/>
  <c r="G89" i="27" s="1"/>
  <c r="H89" i="27" s="1"/>
  <c r="I89" i="27" s="1"/>
  <c r="F90" i="27"/>
  <c r="G90" i="27" s="1"/>
  <c r="H90" i="27" s="1"/>
  <c r="I90" i="27" s="1"/>
  <c r="F91" i="27"/>
  <c r="G91" i="27" s="1"/>
  <c r="H91" i="27" s="1"/>
  <c r="I91" i="27" s="1"/>
  <c r="F92" i="27"/>
  <c r="G92" i="27" s="1"/>
  <c r="H92" i="27" s="1"/>
  <c r="I92" i="27" s="1"/>
  <c r="F93" i="27"/>
  <c r="G93" i="27" s="1"/>
  <c r="H93" i="27" s="1"/>
  <c r="I93" i="27" s="1"/>
  <c r="F19" i="27"/>
  <c r="G19" i="27" s="1"/>
  <c r="H19" i="27" s="1"/>
  <c r="I19" i="27" s="1"/>
  <c r="F12" i="27"/>
  <c r="G12" i="27" s="1"/>
  <c r="H12" i="27" s="1"/>
  <c r="I12" i="27" s="1"/>
  <c r="F94" i="27"/>
  <c r="G94" i="27" s="1"/>
  <c r="H94" i="27" s="1"/>
  <c r="I94" i="27" s="1"/>
  <c r="F22" i="27"/>
  <c r="G22" i="27" s="1"/>
  <c r="H22" i="27" s="1"/>
  <c r="I22" i="27" s="1"/>
  <c r="F27" i="27"/>
  <c r="G27" i="27" s="1"/>
  <c r="H27" i="27" s="1"/>
  <c r="I27" i="27" s="1"/>
  <c r="F39" i="27"/>
  <c r="G39" i="27" s="1"/>
  <c r="H39" i="27" s="1"/>
  <c r="I39" i="27" s="1"/>
  <c r="F47" i="27"/>
  <c r="G47" i="27" s="1"/>
  <c r="H47" i="27" s="1"/>
  <c r="I47" i="27" s="1"/>
  <c r="F55" i="27"/>
  <c r="G55" i="27" s="1"/>
  <c r="H55" i="27" s="1"/>
  <c r="I55" i="27" s="1"/>
  <c r="F63" i="27"/>
  <c r="G63" i="27" s="1"/>
  <c r="H63" i="27" s="1"/>
  <c r="I63" i="27" s="1"/>
  <c r="F75" i="27"/>
  <c r="G75" i="27" s="1"/>
  <c r="H75" i="27" s="1"/>
  <c r="I75" i="27" s="1"/>
  <c r="F16" i="27"/>
  <c r="G16" i="27" s="1"/>
  <c r="H16" i="27" s="1"/>
  <c r="I16" i="27" s="1"/>
  <c r="F21" i="27"/>
  <c r="G21" i="27" s="1"/>
  <c r="H21" i="27" s="1"/>
  <c r="I21" i="27" s="1"/>
  <c r="F24" i="27"/>
  <c r="G24" i="27" s="1"/>
  <c r="H24" i="27" s="1"/>
  <c r="I24" i="27" s="1"/>
  <c r="F28" i="27"/>
  <c r="G28" i="27" s="1"/>
  <c r="H28" i="27" s="1"/>
  <c r="I28" i="27" s="1"/>
  <c r="F32" i="27"/>
  <c r="G32" i="27" s="1"/>
  <c r="H32" i="27" s="1"/>
  <c r="I32" i="27" s="1"/>
  <c r="F36" i="27"/>
  <c r="G36" i="27" s="1"/>
  <c r="H36" i="27" s="1"/>
  <c r="I36" i="27" s="1"/>
  <c r="F40" i="27"/>
  <c r="G40" i="27" s="1"/>
  <c r="H40" i="27" s="1"/>
  <c r="I40" i="27" s="1"/>
  <c r="F44" i="27"/>
  <c r="G44" i="27" s="1"/>
  <c r="H44" i="27" s="1"/>
  <c r="I44" i="27" s="1"/>
  <c r="F48" i="27"/>
  <c r="G48" i="27" s="1"/>
  <c r="H48" i="27" s="1"/>
  <c r="I48" i="27" s="1"/>
  <c r="F52" i="27"/>
  <c r="G52" i="27" s="1"/>
  <c r="H52" i="27" s="1"/>
  <c r="I52" i="27" s="1"/>
  <c r="F56" i="27"/>
  <c r="G56" i="27" s="1"/>
  <c r="H56" i="27" s="1"/>
  <c r="I56" i="27" s="1"/>
  <c r="F60" i="27"/>
  <c r="G60" i="27" s="1"/>
  <c r="H60" i="27" s="1"/>
  <c r="I60" i="27" s="1"/>
  <c r="F64" i="27"/>
  <c r="G64" i="27" s="1"/>
  <c r="H64" i="27" s="1"/>
  <c r="I64" i="27" s="1"/>
  <c r="F68" i="27"/>
  <c r="G68" i="27" s="1"/>
  <c r="H68" i="27" s="1"/>
  <c r="I68" i="27" s="1"/>
  <c r="F72" i="27"/>
  <c r="G72" i="27" s="1"/>
  <c r="H72" i="27" s="1"/>
  <c r="I72" i="27" s="1"/>
  <c r="F76" i="27"/>
  <c r="G76" i="27" s="1"/>
  <c r="H76" i="27" s="1"/>
  <c r="I76" i="27" s="1"/>
  <c r="F80" i="27"/>
  <c r="G80" i="27" s="1"/>
  <c r="H80" i="27" s="1"/>
  <c r="I80" i="27" s="1"/>
  <c r="F18" i="27"/>
  <c r="G18" i="27" s="1"/>
  <c r="H18" i="27" s="1"/>
  <c r="I18" i="27" s="1"/>
  <c r="F14" i="27"/>
  <c r="G14" i="27" s="1"/>
  <c r="H14" i="27" s="1"/>
  <c r="I14" i="27" s="1"/>
  <c r="F9" i="27"/>
  <c r="G9" i="27" s="1"/>
  <c r="H9" i="27" s="1"/>
  <c r="I9" i="27" s="1"/>
  <c r="F20" i="27"/>
  <c r="G20" i="27" s="1"/>
  <c r="H20" i="27" s="1"/>
  <c r="I20" i="27" s="1"/>
  <c r="F31" i="27"/>
  <c r="G31" i="27" s="1"/>
  <c r="H31" i="27" s="1"/>
  <c r="I31" i="27" s="1"/>
  <c r="F35" i="27"/>
  <c r="G35" i="27" s="1"/>
  <c r="H35" i="27" s="1"/>
  <c r="I35" i="27" s="1"/>
  <c r="F43" i="27"/>
  <c r="G43" i="27" s="1"/>
  <c r="H43" i="27" s="1"/>
  <c r="I43" i="27" s="1"/>
  <c r="F51" i="27"/>
  <c r="G51" i="27" s="1"/>
  <c r="H51" i="27" s="1"/>
  <c r="I51" i="27" s="1"/>
  <c r="F59" i="27"/>
  <c r="G59" i="27" s="1"/>
  <c r="H59" i="27" s="1"/>
  <c r="I59" i="27" s="1"/>
  <c r="F67" i="27"/>
  <c r="G67" i="27" s="1"/>
  <c r="H67" i="27" s="1"/>
  <c r="I67" i="27" s="1"/>
  <c r="F71" i="27"/>
  <c r="G71" i="27" s="1"/>
  <c r="H71" i="27" s="1"/>
  <c r="I71" i="27" s="1"/>
  <c r="F79" i="27"/>
  <c r="G79" i="27" s="1"/>
  <c r="H79" i="27" s="1"/>
  <c r="I79" i="27" s="1"/>
  <c r="F11" i="27"/>
  <c r="G11" i="27" s="1"/>
  <c r="H11" i="27" s="1"/>
  <c r="I11" i="27" s="1"/>
  <c r="F23" i="27"/>
  <c r="G23" i="27" s="1"/>
  <c r="H23" i="27" s="1"/>
  <c r="I23" i="27" s="1"/>
  <c r="F7" i="27"/>
  <c r="G7" i="27" s="1"/>
  <c r="H7" i="27" s="1"/>
  <c r="I7" i="27" s="1"/>
  <c r="F23" i="26"/>
  <c r="G23" i="26" s="1"/>
  <c r="H23" i="26" s="1"/>
  <c r="I23" i="26" s="1"/>
  <c r="F27" i="26"/>
  <c r="G27" i="26" s="1"/>
  <c r="H27" i="26" s="1"/>
  <c r="I27" i="26" s="1"/>
  <c r="F31" i="26"/>
  <c r="G31" i="26" s="1"/>
  <c r="H31" i="26" s="1"/>
  <c r="I31" i="26" s="1"/>
  <c r="F35" i="26"/>
  <c r="G35" i="26" s="1"/>
  <c r="H35" i="26" s="1"/>
  <c r="I35" i="26" s="1"/>
  <c r="F39" i="26"/>
  <c r="G39" i="26" s="1"/>
  <c r="H39" i="26" s="1"/>
  <c r="I39" i="26" s="1"/>
  <c r="F43" i="26"/>
  <c r="G43" i="26" s="1"/>
  <c r="H43" i="26" s="1"/>
  <c r="I43" i="26" s="1"/>
  <c r="F47" i="26"/>
  <c r="G47" i="26" s="1"/>
  <c r="H47" i="26" s="1"/>
  <c r="I47" i="26" s="1"/>
  <c r="F51" i="26"/>
  <c r="G51" i="26" s="1"/>
  <c r="H51" i="26" s="1"/>
  <c r="I51" i="26" s="1"/>
  <c r="F55" i="26"/>
  <c r="G55" i="26" s="1"/>
  <c r="H55" i="26" s="1"/>
  <c r="I55" i="26" s="1"/>
  <c r="F59" i="26"/>
  <c r="G59" i="26" s="1"/>
  <c r="H59" i="26" s="1"/>
  <c r="I59" i="26" s="1"/>
  <c r="F63" i="26"/>
  <c r="G63" i="26" s="1"/>
  <c r="H63" i="26" s="1"/>
  <c r="I63" i="26" s="1"/>
  <c r="F67" i="26"/>
  <c r="G67" i="26" s="1"/>
  <c r="H67" i="26" s="1"/>
  <c r="I67" i="26" s="1"/>
  <c r="F71" i="26"/>
  <c r="G71" i="26" s="1"/>
  <c r="H71" i="26" s="1"/>
  <c r="I71" i="26" s="1"/>
  <c r="F75" i="26"/>
  <c r="G75" i="26" s="1"/>
  <c r="H75" i="26" s="1"/>
  <c r="I75" i="26" s="1"/>
  <c r="F79" i="26"/>
  <c r="G79" i="26" s="1"/>
  <c r="H79" i="26" s="1"/>
  <c r="I79" i="26" s="1"/>
  <c r="F83" i="26"/>
  <c r="G83" i="26" s="1"/>
  <c r="H83" i="26" s="1"/>
  <c r="I83" i="26" s="1"/>
  <c r="F87" i="26"/>
  <c r="G87" i="26" s="1"/>
  <c r="H87" i="26" s="1"/>
  <c r="I87" i="26" s="1"/>
  <c r="F91" i="26"/>
  <c r="G91" i="26" s="1"/>
  <c r="H91" i="26" s="1"/>
  <c r="I91" i="26" s="1"/>
  <c r="F11" i="26"/>
  <c r="G11" i="26" s="1"/>
  <c r="H11" i="26" s="1"/>
  <c r="I11" i="26" s="1"/>
  <c r="F15" i="26"/>
  <c r="G15" i="26" s="1"/>
  <c r="H15" i="26" s="1"/>
  <c r="I15" i="26" s="1"/>
  <c r="F94" i="26"/>
  <c r="G94" i="26" s="1"/>
  <c r="H94" i="26" s="1"/>
  <c r="I94" i="26" s="1"/>
  <c r="F20" i="26"/>
  <c r="G20" i="26" s="1"/>
  <c r="H20" i="26" s="1"/>
  <c r="I20" i="26" s="1"/>
  <c r="F24" i="26"/>
  <c r="G24" i="26" s="1"/>
  <c r="H24" i="26" s="1"/>
  <c r="I24" i="26" s="1"/>
  <c r="F56" i="26"/>
  <c r="G56" i="26" s="1"/>
  <c r="H56" i="26" s="1"/>
  <c r="I56" i="26" s="1"/>
  <c r="F64" i="26"/>
  <c r="G64" i="26" s="1"/>
  <c r="H64" i="26" s="1"/>
  <c r="I64" i="26" s="1"/>
  <c r="F76" i="26"/>
  <c r="G76" i="26" s="1"/>
  <c r="H76" i="26" s="1"/>
  <c r="I76" i="26" s="1"/>
  <c r="F88" i="26"/>
  <c r="G88" i="26" s="1"/>
  <c r="H88" i="26" s="1"/>
  <c r="I88" i="26" s="1"/>
  <c r="F12" i="26"/>
  <c r="G12" i="26" s="1"/>
  <c r="H12" i="26" s="1"/>
  <c r="I12" i="26" s="1"/>
  <c r="F22" i="26"/>
  <c r="G22" i="26" s="1"/>
  <c r="H22" i="26" s="1"/>
  <c r="I22" i="26" s="1"/>
  <c r="F26" i="26"/>
  <c r="G26" i="26" s="1"/>
  <c r="H26" i="26" s="1"/>
  <c r="I26" i="26" s="1"/>
  <c r="F30" i="26"/>
  <c r="G30" i="26" s="1"/>
  <c r="H30" i="26" s="1"/>
  <c r="I30" i="26" s="1"/>
  <c r="F34" i="26"/>
  <c r="G34" i="26" s="1"/>
  <c r="H34" i="26" s="1"/>
  <c r="I34" i="26" s="1"/>
  <c r="F38" i="26"/>
  <c r="G38" i="26" s="1"/>
  <c r="H38" i="26" s="1"/>
  <c r="I38" i="26" s="1"/>
  <c r="F42" i="26"/>
  <c r="G42" i="26" s="1"/>
  <c r="H42" i="26" s="1"/>
  <c r="I42" i="26" s="1"/>
  <c r="F46" i="26"/>
  <c r="G46" i="26" s="1"/>
  <c r="H46" i="26" s="1"/>
  <c r="I46" i="26" s="1"/>
  <c r="F50" i="26"/>
  <c r="G50" i="26" s="1"/>
  <c r="H50" i="26" s="1"/>
  <c r="I50" i="26" s="1"/>
  <c r="F54" i="26"/>
  <c r="G54" i="26" s="1"/>
  <c r="H54" i="26" s="1"/>
  <c r="I54" i="26" s="1"/>
  <c r="F58" i="26"/>
  <c r="G58" i="26" s="1"/>
  <c r="H58" i="26" s="1"/>
  <c r="I58" i="26" s="1"/>
  <c r="F62" i="26"/>
  <c r="G62" i="26" s="1"/>
  <c r="H62" i="26" s="1"/>
  <c r="I62" i="26" s="1"/>
  <c r="F66" i="26"/>
  <c r="G66" i="26" s="1"/>
  <c r="H66" i="26" s="1"/>
  <c r="I66" i="26" s="1"/>
  <c r="F70" i="26"/>
  <c r="G70" i="26" s="1"/>
  <c r="H70" i="26" s="1"/>
  <c r="I70" i="26" s="1"/>
  <c r="F74" i="26"/>
  <c r="G74" i="26" s="1"/>
  <c r="H74" i="26" s="1"/>
  <c r="I74" i="26" s="1"/>
  <c r="F78" i="26"/>
  <c r="G78" i="26" s="1"/>
  <c r="H78" i="26" s="1"/>
  <c r="I78" i="26" s="1"/>
  <c r="F82" i="26"/>
  <c r="G82" i="26" s="1"/>
  <c r="H82" i="26" s="1"/>
  <c r="I82" i="26" s="1"/>
  <c r="F86" i="26"/>
  <c r="G86" i="26" s="1"/>
  <c r="H86" i="26" s="1"/>
  <c r="I86" i="26" s="1"/>
  <c r="F90" i="26"/>
  <c r="G90" i="26" s="1"/>
  <c r="H90" i="26" s="1"/>
  <c r="I90" i="26" s="1"/>
  <c r="F10" i="26"/>
  <c r="G10" i="26" s="1"/>
  <c r="H10" i="26" s="1"/>
  <c r="I10" i="26" s="1"/>
  <c r="F14" i="26"/>
  <c r="G14" i="26" s="1"/>
  <c r="H14" i="26" s="1"/>
  <c r="I14" i="26" s="1"/>
  <c r="F28" i="26"/>
  <c r="G28" i="26" s="1"/>
  <c r="H28" i="26" s="1"/>
  <c r="I28" i="26" s="1"/>
  <c r="F40" i="26"/>
  <c r="G40" i="26" s="1"/>
  <c r="H40" i="26" s="1"/>
  <c r="I40" i="26" s="1"/>
  <c r="F44" i="26"/>
  <c r="G44" i="26" s="1"/>
  <c r="H44" i="26" s="1"/>
  <c r="I44" i="26" s="1"/>
  <c r="F52" i="26"/>
  <c r="G52" i="26" s="1"/>
  <c r="H52" i="26" s="1"/>
  <c r="I52" i="26" s="1"/>
  <c r="F60" i="26"/>
  <c r="G60" i="26" s="1"/>
  <c r="H60" i="26" s="1"/>
  <c r="I60" i="26" s="1"/>
  <c r="F68" i="26"/>
  <c r="G68" i="26" s="1"/>
  <c r="H68" i="26" s="1"/>
  <c r="I68" i="26" s="1"/>
  <c r="F80" i="26"/>
  <c r="G80" i="26" s="1"/>
  <c r="H80" i="26" s="1"/>
  <c r="I80" i="26" s="1"/>
  <c r="F92" i="26"/>
  <c r="G92" i="26" s="1"/>
  <c r="H92" i="26" s="1"/>
  <c r="I92" i="26" s="1"/>
  <c r="F8" i="26"/>
  <c r="G8" i="26" s="1"/>
  <c r="H8" i="26" s="1"/>
  <c r="I8" i="26" s="1"/>
  <c r="F25" i="26"/>
  <c r="G25" i="26" s="1"/>
  <c r="H25" i="26" s="1"/>
  <c r="I25" i="26" s="1"/>
  <c r="F29" i="26"/>
  <c r="G29" i="26" s="1"/>
  <c r="H29" i="26" s="1"/>
  <c r="I29" i="26" s="1"/>
  <c r="F33" i="26"/>
  <c r="G33" i="26" s="1"/>
  <c r="H33" i="26" s="1"/>
  <c r="I33" i="26" s="1"/>
  <c r="F37" i="26"/>
  <c r="G37" i="26" s="1"/>
  <c r="H37" i="26" s="1"/>
  <c r="I37" i="26" s="1"/>
  <c r="F41" i="26"/>
  <c r="G41" i="26" s="1"/>
  <c r="H41" i="26" s="1"/>
  <c r="I41" i="26" s="1"/>
  <c r="F45" i="26"/>
  <c r="G45" i="26" s="1"/>
  <c r="H45" i="26" s="1"/>
  <c r="I45" i="26" s="1"/>
  <c r="F49" i="26"/>
  <c r="G49" i="26" s="1"/>
  <c r="H49" i="26" s="1"/>
  <c r="I49" i="26" s="1"/>
  <c r="F53" i="26"/>
  <c r="G53" i="26" s="1"/>
  <c r="H53" i="26" s="1"/>
  <c r="I53" i="26" s="1"/>
  <c r="F57" i="26"/>
  <c r="G57" i="26" s="1"/>
  <c r="H57" i="26" s="1"/>
  <c r="I57" i="26" s="1"/>
  <c r="F61" i="26"/>
  <c r="G61" i="26" s="1"/>
  <c r="H61" i="26" s="1"/>
  <c r="I61" i="26" s="1"/>
  <c r="F65" i="26"/>
  <c r="G65" i="26" s="1"/>
  <c r="H65" i="26" s="1"/>
  <c r="I65" i="26" s="1"/>
  <c r="F69" i="26"/>
  <c r="G69" i="26" s="1"/>
  <c r="H69" i="26" s="1"/>
  <c r="I69" i="26" s="1"/>
  <c r="F73" i="26"/>
  <c r="G73" i="26" s="1"/>
  <c r="H73" i="26" s="1"/>
  <c r="I73" i="26" s="1"/>
  <c r="F77" i="26"/>
  <c r="G77" i="26" s="1"/>
  <c r="H77" i="26" s="1"/>
  <c r="I77" i="26" s="1"/>
  <c r="F81" i="26"/>
  <c r="G81" i="26" s="1"/>
  <c r="H81" i="26" s="1"/>
  <c r="I81" i="26" s="1"/>
  <c r="F85" i="26"/>
  <c r="G85" i="26" s="1"/>
  <c r="H85" i="26" s="1"/>
  <c r="I85" i="26" s="1"/>
  <c r="F89" i="26"/>
  <c r="G89" i="26" s="1"/>
  <c r="H89" i="26" s="1"/>
  <c r="I89" i="26" s="1"/>
  <c r="F93" i="26"/>
  <c r="G93" i="26" s="1"/>
  <c r="H93" i="26" s="1"/>
  <c r="I93" i="26" s="1"/>
  <c r="F17" i="26"/>
  <c r="G17" i="26" s="1"/>
  <c r="H17" i="26" s="1"/>
  <c r="I17" i="26" s="1"/>
  <c r="F18" i="26"/>
  <c r="G18" i="26" s="1"/>
  <c r="H18" i="26" s="1"/>
  <c r="I18" i="26" s="1"/>
  <c r="F19" i="26"/>
  <c r="G19" i="26" s="1"/>
  <c r="H19" i="26" s="1"/>
  <c r="I19" i="26" s="1"/>
  <c r="F9" i="26"/>
  <c r="G9" i="26" s="1"/>
  <c r="H9" i="26" s="1"/>
  <c r="I9" i="26" s="1"/>
  <c r="F13" i="26"/>
  <c r="G13" i="26" s="1"/>
  <c r="H13" i="26" s="1"/>
  <c r="I13" i="26" s="1"/>
  <c r="F21" i="26"/>
  <c r="G21" i="26" s="1"/>
  <c r="H21" i="26" s="1"/>
  <c r="I21" i="26" s="1"/>
  <c r="F32" i="26"/>
  <c r="G32" i="26" s="1"/>
  <c r="H32" i="26" s="1"/>
  <c r="I32" i="26" s="1"/>
  <c r="F36" i="26"/>
  <c r="G36" i="26" s="1"/>
  <c r="H36" i="26" s="1"/>
  <c r="I36" i="26" s="1"/>
  <c r="F48" i="26"/>
  <c r="G48" i="26" s="1"/>
  <c r="H48" i="26" s="1"/>
  <c r="I48" i="26" s="1"/>
  <c r="F72" i="26"/>
  <c r="G72" i="26" s="1"/>
  <c r="H72" i="26" s="1"/>
  <c r="I72" i="26" s="1"/>
  <c r="F84" i="26"/>
  <c r="G84" i="26" s="1"/>
  <c r="H84" i="26" s="1"/>
  <c r="I84" i="26" s="1"/>
  <c r="F16" i="26"/>
  <c r="G16" i="26" s="1"/>
  <c r="H16" i="26" s="1"/>
  <c r="I16" i="26" s="1"/>
  <c r="F7" i="26"/>
  <c r="G7" i="26" s="1"/>
  <c r="H7" i="26" s="1"/>
  <c r="I7" i="26" s="1"/>
  <c r="F104" i="28"/>
  <c r="G104" i="28" s="1"/>
  <c r="H104" i="28" s="1"/>
  <c r="I104" i="28" s="1"/>
  <c r="F107" i="28"/>
  <c r="G107" i="28" s="1"/>
  <c r="H107" i="28" s="1"/>
  <c r="I107" i="28" s="1"/>
  <c r="F110" i="28"/>
  <c r="G110" i="28" s="1"/>
  <c r="H110" i="28" s="1"/>
  <c r="I110" i="28" s="1"/>
  <c r="F89" i="28"/>
  <c r="G89" i="28" s="1"/>
  <c r="H89" i="28" s="1"/>
  <c r="I89" i="28" s="1"/>
  <c r="F93" i="28"/>
  <c r="G93" i="28" s="1"/>
  <c r="H93" i="28" s="1"/>
  <c r="I93" i="28" s="1"/>
  <c r="F97" i="28"/>
  <c r="G97" i="28" s="1"/>
  <c r="H97" i="28" s="1"/>
  <c r="I97" i="28" s="1"/>
  <c r="F101" i="28"/>
  <c r="G101" i="28" s="1"/>
  <c r="H101" i="28" s="1"/>
  <c r="I101" i="28" s="1"/>
  <c r="F42" i="28"/>
  <c r="G42" i="28" s="1"/>
  <c r="H42" i="28" s="1"/>
  <c r="I42" i="28" s="1"/>
  <c r="F46" i="28"/>
  <c r="G46" i="28" s="1"/>
  <c r="H46" i="28" s="1"/>
  <c r="I46" i="28" s="1"/>
  <c r="F50" i="28"/>
  <c r="G50" i="28" s="1"/>
  <c r="H50" i="28" s="1"/>
  <c r="I50" i="28" s="1"/>
  <c r="F54" i="28"/>
  <c r="G54" i="28" s="1"/>
  <c r="H54" i="28" s="1"/>
  <c r="I54" i="28" s="1"/>
  <c r="F61" i="28"/>
  <c r="G61" i="28" s="1"/>
  <c r="H61" i="28" s="1"/>
  <c r="I61" i="28" s="1"/>
  <c r="F67" i="28"/>
  <c r="G67" i="28" s="1"/>
  <c r="H67" i="28" s="1"/>
  <c r="I67" i="28" s="1"/>
  <c r="F70" i="28"/>
  <c r="G70" i="28" s="1"/>
  <c r="H70" i="28" s="1"/>
  <c r="I70" i="28" s="1"/>
  <c r="F73" i="28"/>
  <c r="G73" i="28" s="1"/>
  <c r="H73" i="28" s="1"/>
  <c r="I73" i="28" s="1"/>
  <c r="F75" i="28"/>
  <c r="G75" i="28" s="1"/>
  <c r="H75" i="28" s="1"/>
  <c r="I75" i="28" s="1"/>
  <c r="F38" i="28"/>
  <c r="G38" i="28" s="1"/>
  <c r="H38" i="28" s="1"/>
  <c r="I38" i="28" s="1"/>
  <c r="F34" i="28"/>
  <c r="G34" i="28" s="1"/>
  <c r="H34" i="28" s="1"/>
  <c r="I34" i="28" s="1"/>
  <c r="F14" i="28"/>
  <c r="G14" i="28" s="1"/>
  <c r="H14" i="28" s="1"/>
  <c r="I14" i="28" s="1"/>
  <c r="F22" i="28"/>
  <c r="G22" i="28" s="1"/>
  <c r="H22" i="28" s="1"/>
  <c r="I22" i="28" s="1"/>
  <c r="F30" i="28"/>
  <c r="G30" i="28" s="1"/>
  <c r="H30" i="28" s="1"/>
  <c r="I30" i="28" s="1"/>
  <c r="F10" i="28"/>
  <c r="G10" i="28" s="1"/>
  <c r="H10" i="28" s="1"/>
  <c r="I10" i="28" s="1"/>
  <c r="F113" i="28"/>
  <c r="G113" i="28" s="1"/>
  <c r="H113" i="28" s="1"/>
  <c r="I113" i="28" s="1"/>
  <c r="F108" i="28"/>
  <c r="G108" i="28" s="1"/>
  <c r="H108" i="28" s="1"/>
  <c r="I108" i="28" s="1"/>
  <c r="F94" i="28"/>
  <c r="G94" i="28" s="1"/>
  <c r="H94" i="28" s="1"/>
  <c r="I94" i="28" s="1"/>
  <c r="F43" i="28"/>
  <c r="G43" i="28" s="1"/>
  <c r="H43" i="28" s="1"/>
  <c r="I43" i="28" s="1"/>
  <c r="F55" i="28"/>
  <c r="G55" i="28" s="1"/>
  <c r="H55" i="28" s="1"/>
  <c r="I55" i="28" s="1"/>
  <c r="F65" i="28"/>
  <c r="G65" i="28" s="1"/>
  <c r="H65" i="28" s="1"/>
  <c r="I65" i="28" s="1"/>
  <c r="F76" i="28"/>
  <c r="G76" i="28" s="1"/>
  <c r="H76" i="28" s="1"/>
  <c r="I76" i="28" s="1"/>
  <c r="F37" i="28"/>
  <c r="G37" i="28" s="1"/>
  <c r="H37" i="28" s="1"/>
  <c r="I37" i="28" s="1"/>
  <c r="F15" i="28"/>
  <c r="G15" i="28" s="1"/>
  <c r="H15" i="28" s="1"/>
  <c r="I15" i="28" s="1"/>
  <c r="F28" i="28"/>
  <c r="G28" i="28" s="1"/>
  <c r="H28" i="28" s="1"/>
  <c r="I28" i="28" s="1"/>
  <c r="F103" i="28"/>
  <c r="G103" i="28" s="1"/>
  <c r="H103" i="28" s="1"/>
  <c r="I103" i="28" s="1"/>
  <c r="F106" i="28"/>
  <c r="G106" i="28" s="1"/>
  <c r="H106" i="28" s="1"/>
  <c r="I106" i="28" s="1"/>
  <c r="F88" i="28"/>
  <c r="G88" i="28" s="1"/>
  <c r="H88" i="28" s="1"/>
  <c r="I88" i="28" s="1"/>
  <c r="F92" i="28"/>
  <c r="G92" i="28" s="1"/>
  <c r="H92" i="28" s="1"/>
  <c r="I92" i="28" s="1"/>
  <c r="F96" i="28"/>
  <c r="G96" i="28" s="1"/>
  <c r="H96" i="28" s="1"/>
  <c r="I96" i="28" s="1"/>
  <c r="F100" i="28"/>
  <c r="G100" i="28" s="1"/>
  <c r="H100" i="28" s="1"/>
  <c r="I100" i="28" s="1"/>
  <c r="F41" i="28"/>
  <c r="G41" i="28" s="1"/>
  <c r="H41" i="28" s="1"/>
  <c r="I41" i="28" s="1"/>
  <c r="F45" i="28"/>
  <c r="G45" i="28" s="1"/>
  <c r="H45" i="28" s="1"/>
  <c r="I45" i="28" s="1"/>
  <c r="F49" i="28"/>
  <c r="G49" i="28" s="1"/>
  <c r="H49" i="28" s="1"/>
  <c r="I49" i="28" s="1"/>
  <c r="F53" i="28"/>
  <c r="G53" i="28" s="1"/>
  <c r="H53" i="28" s="1"/>
  <c r="I53" i="28" s="1"/>
  <c r="F57" i="28"/>
  <c r="G57" i="28" s="1"/>
  <c r="H57" i="28" s="1"/>
  <c r="I57" i="28" s="1"/>
  <c r="F60" i="28"/>
  <c r="G60" i="28" s="1"/>
  <c r="H60" i="28" s="1"/>
  <c r="I60" i="28" s="1"/>
  <c r="F64" i="28"/>
  <c r="G64" i="28" s="1"/>
  <c r="H64" i="28" s="1"/>
  <c r="I64" i="28" s="1"/>
  <c r="F69" i="28"/>
  <c r="G69" i="28" s="1"/>
  <c r="H69" i="28" s="1"/>
  <c r="I69" i="28" s="1"/>
  <c r="F72" i="28"/>
  <c r="G72" i="28" s="1"/>
  <c r="H72" i="28" s="1"/>
  <c r="I72" i="28" s="1"/>
  <c r="F33" i="28"/>
  <c r="G33" i="28" s="1"/>
  <c r="H33" i="28" s="1"/>
  <c r="I33" i="28" s="1"/>
  <c r="F36" i="28"/>
  <c r="G36" i="28" s="1"/>
  <c r="H36" i="28" s="1"/>
  <c r="I36" i="28" s="1"/>
  <c r="F11" i="28"/>
  <c r="G11" i="28" s="1"/>
  <c r="H11" i="28" s="1"/>
  <c r="I11" i="28" s="1"/>
  <c r="F13" i="28"/>
  <c r="G13" i="28" s="1"/>
  <c r="H13" i="28" s="1"/>
  <c r="I13" i="28" s="1"/>
  <c r="F16" i="28"/>
  <c r="G16" i="28" s="1"/>
  <c r="H16" i="28" s="1"/>
  <c r="I16" i="28" s="1"/>
  <c r="F19" i="28"/>
  <c r="G19" i="28" s="1"/>
  <c r="H19" i="28" s="1"/>
  <c r="I19" i="28" s="1"/>
  <c r="F21" i="28"/>
  <c r="G21" i="28" s="1"/>
  <c r="H21" i="28" s="1"/>
  <c r="I21" i="28" s="1"/>
  <c r="F24" i="28"/>
  <c r="G24" i="28" s="1"/>
  <c r="H24" i="28" s="1"/>
  <c r="I24" i="28" s="1"/>
  <c r="F27" i="28"/>
  <c r="G27" i="28" s="1"/>
  <c r="H27" i="28" s="1"/>
  <c r="I27" i="28" s="1"/>
  <c r="F29" i="28"/>
  <c r="G29" i="28" s="1"/>
  <c r="H29" i="28" s="1"/>
  <c r="I29" i="28" s="1"/>
  <c r="F8" i="28"/>
  <c r="G8" i="28" s="1"/>
  <c r="H8" i="28" s="1"/>
  <c r="I8" i="28" s="1"/>
  <c r="F105" i="28"/>
  <c r="G105" i="28" s="1"/>
  <c r="H105" i="28" s="1"/>
  <c r="I105" i="28" s="1"/>
  <c r="F98" i="28"/>
  <c r="G98" i="28" s="1"/>
  <c r="H98" i="28" s="1"/>
  <c r="I98" i="28" s="1"/>
  <c r="F51" i="28"/>
  <c r="G51" i="28" s="1"/>
  <c r="H51" i="28" s="1"/>
  <c r="I51" i="28" s="1"/>
  <c r="F58" i="28"/>
  <c r="G58" i="28" s="1"/>
  <c r="H58" i="28" s="1"/>
  <c r="I58" i="28" s="1"/>
  <c r="F35" i="28"/>
  <c r="G35" i="28" s="1"/>
  <c r="H35" i="28" s="1"/>
  <c r="I35" i="28" s="1"/>
  <c r="F17" i="28"/>
  <c r="G17" i="28" s="1"/>
  <c r="H17" i="28" s="1"/>
  <c r="I17" i="28" s="1"/>
  <c r="F23" i="28"/>
  <c r="G23" i="28" s="1"/>
  <c r="H23" i="28" s="1"/>
  <c r="I23" i="28" s="1"/>
  <c r="F109" i="28"/>
  <c r="G109" i="28" s="1"/>
  <c r="H109" i="28" s="1"/>
  <c r="I109" i="28" s="1"/>
  <c r="F112" i="28"/>
  <c r="G112" i="28" s="1"/>
  <c r="H112" i="28" s="1"/>
  <c r="I112" i="28" s="1"/>
  <c r="F77" i="28"/>
  <c r="G77" i="28" s="1"/>
  <c r="H77" i="28" s="1"/>
  <c r="I77" i="28" s="1"/>
  <c r="F78" i="28"/>
  <c r="G78" i="28" s="1"/>
  <c r="H78" i="28" s="1"/>
  <c r="I78" i="28" s="1"/>
  <c r="F79" i="28"/>
  <c r="G79" i="28" s="1"/>
  <c r="H79" i="28" s="1"/>
  <c r="I79" i="28" s="1"/>
  <c r="F80" i="28"/>
  <c r="G80" i="28" s="1"/>
  <c r="H80" i="28" s="1"/>
  <c r="I80" i="28" s="1"/>
  <c r="F81" i="28"/>
  <c r="G81" i="28" s="1"/>
  <c r="H81" i="28" s="1"/>
  <c r="I81" i="28" s="1"/>
  <c r="F82" i="28"/>
  <c r="G82" i="28" s="1"/>
  <c r="H82" i="28" s="1"/>
  <c r="I82" i="28" s="1"/>
  <c r="F83" i="28"/>
  <c r="G83" i="28" s="1"/>
  <c r="H83" i="28" s="1"/>
  <c r="I83" i="28" s="1"/>
  <c r="F84" i="28"/>
  <c r="G84" i="28" s="1"/>
  <c r="H84" i="28" s="1"/>
  <c r="I84" i="28" s="1"/>
  <c r="F85" i="28"/>
  <c r="G85" i="28" s="1"/>
  <c r="H85" i="28" s="1"/>
  <c r="I85" i="28" s="1"/>
  <c r="F86" i="28"/>
  <c r="G86" i="28" s="1"/>
  <c r="H86" i="28" s="1"/>
  <c r="I86" i="28" s="1"/>
  <c r="F87" i="28"/>
  <c r="G87" i="28" s="1"/>
  <c r="H87" i="28" s="1"/>
  <c r="I87" i="28" s="1"/>
  <c r="F91" i="28"/>
  <c r="G91" i="28" s="1"/>
  <c r="H91" i="28" s="1"/>
  <c r="I91" i="28" s="1"/>
  <c r="F95" i="28"/>
  <c r="G95" i="28" s="1"/>
  <c r="H95" i="28" s="1"/>
  <c r="I95" i="28" s="1"/>
  <c r="F99" i="28"/>
  <c r="G99" i="28" s="1"/>
  <c r="H99" i="28" s="1"/>
  <c r="I99" i="28" s="1"/>
  <c r="F40" i="28"/>
  <c r="G40" i="28" s="1"/>
  <c r="H40" i="28" s="1"/>
  <c r="I40" i="28" s="1"/>
  <c r="F44" i="28"/>
  <c r="G44" i="28" s="1"/>
  <c r="H44" i="28" s="1"/>
  <c r="I44" i="28" s="1"/>
  <c r="F48" i="28"/>
  <c r="G48" i="28" s="1"/>
  <c r="H48" i="28" s="1"/>
  <c r="I48" i="28" s="1"/>
  <c r="F52" i="28"/>
  <c r="G52" i="28" s="1"/>
  <c r="H52" i="28" s="1"/>
  <c r="I52" i="28" s="1"/>
  <c r="F56" i="28"/>
  <c r="G56" i="28" s="1"/>
  <c r="H56" i="28" s="1"/>
  <c r="I56" i="28" s="1"/>
  <c r="F59" i="28"/>
  <c r="G59" i="28" s="1"/>
  <c r="H59" i="28" s="1"/>
  <c r="I59" i="28" s="1"/>
  <c r="F63" i="28"/>
  <c r="G63" i="28" s="1"/>
  <c r="H63" i="28" s="1"/>
  <c r="I63" i="28" s="1"/>
  <c r="F66" i="28"/>
  <c r="G66" i="28" s="1"/>
  <c r="H66" i="28" s="1"/>
  <c r="I66" i="28" s="1"/>
  <c r="F68" i="28"/>
  <c r="G68" i="28" s="1"/>
  <c r="H68" i="28" s="1"/>
  <c r="I68" i="28" s="1"/>
  <c r="F71" i="28"/>
  <c r="G71" i="28" s="1"/>
  <c r="H71" i="28" s="1"/>
  <c r="I71" i="28" s="1"/>
  <c r="F74" i="28"/>
  <c r="G74" i="28" s="1"/>
  <c r="H74" i="28" s="1"/>
  <c r="I74" i="28" s="1"/>
  <c r="F18" i="28"/>
  <c r="G18" i="28" s="1"/>
  <c r="H18" i="28" s="1"/>
  <c r="I18" i="28" s="1"/>
  <c r="F26" i="28"/>
  <c r="G26" i="28" s="1"/>
  <c r="H26" i="28" s="1"/>
  <c r="I26" i="28" s="1"/>
  <c r="F9" i="28"/>
  <c r="G9" i="28" s="1"/>
  <c r="H9" i="28" s="1"/>
  <c r="I9" i="28" s="1"/>
  <c r="F39" i="28"/>
  <c r="G39" i="28" s="1"/>
  <c r="H39" i="28" s="1"/>
  <c r="I39" i="28" s="1"/>
  <c r="F111" i="28"/>
  <c r="G111" i="28" s="1"/>
  <c r="H111" i="28" s="1"/>
  <c r="I111" i="28" s="1"/>
  <c r="F90" i="28"/>
  <c r="G90" i="28" s="1"/>
  <c r="H90" i="28" s="1"/>
  <c r="I90" i="28" s="1"/>
  <c r="F102" i="28"/>
  <c r="G102" i="28" s="1"/>
  <c r="H102" i="28" s="1"/>
  <c r="I102" i="28" s="1"/>
  <c r="F47" i="28"/>
  <c r="G47" i="28" s="1"/>
  <c r="H47" i="28" s="1"/>
  <c r="I47" i="28" s="1"/>
  <c r="F62" i="28"/>
  <c r="G62" i="28" s="1"/>
  <c r="H62" i="28" s="1"/>
  <c r="I62" i="28" s="1"/>
  <c r="F32" i="28"/>
  <c r="G32" i="28" s="1"/>
  <c r="H32" i="28" s="1"/>
  <c r="I32" i="28" s="1"/>
  <c r="F12" i="28"/>
  <c r="G12" i="28" s="1"/>
  <c r="H12" i="28" s="1"/>
  <c r="I12" i="28" s="1"/>
  <c r="F20" i="28"/>
  <c r="G20" i="28" s="1"/>
  <c r="H20" i="28" s="1"/>
  <c r="I20" i="28" s="1"/>
  <c r="F25" i="28"/>
  <c r="G25" i="28" s="1"/>
  <c r="H25" i="28" s="1"/>
  <c r="I25" i="28" s="1"/>
  <c r="F31" i="28"/>
  <c r="G31" i="28" s="1"/>
  <c r="H31" i="28" s="1"/>
  <c r="I31" i="28" s="1"/>
  <c r="F7" i="28"/>
  <c r="G7" i="28" s="1"/>
  <c r="H7" i="28" s="1"/>
  <c r="I7" i="28" s="1"/>
  <c r="F7" i="25"/>
  <c r="G7" i="25" s="1"/>
  <c r="H7" i="25" s="1"/>
  <c r="I7" i="25" s="1"/>
  <c r="F9" i="22"/>
  <c r="G9" i="22" s="1"/>
  <c r="H9" i="22" s="1"/>
  <c r="I9" i="22" s="1"/>
  <c r="F11" i="22"/>
  <c r="G11" i="22" s="1"/>
  <c r="H11" i="22" s="1"/>
  <c r="I11" i="22" s="1"/>
  <c r="F13" i="22"/>
  <c r="G13" i="22" s="1"/>
  <c r="H13" i="22" s="1"/>
  <c r="I13" i="22" s="1"/>
  <c r="F15" i="22"/>
  <c r="G15" i="22" s="1"/>
  <c r="H15" i="22" s="1"/>
  <c r="I15" i="22" s="1"/>
  <c r="F17" i="22"/>
  <c r="G17" i="22" s="1"/>
  <c r="H17" i="22" s="1"/>
  <c r="I17" i="22" s="1"/>
  <c r="F19" i="22"/>
  <c r="G19" i="22" s="1"/>
  <c r="H19" i="22" s="1"/>
  <c r="I19" i="22" s="1"/>
  <c r="F21" i="22"/>
  <c r="G21" i="22" s="1"/>
  <c r="H21" i="22" s="1"/>
  <c r="I21" i="22" s="1"/>
  <c r="F23" i="22"/>
  <c r="G23" i="22" s="1"/>
  <c r="H23" i="22" s="1"/>
  <c r="I23" i="22" s="1"/>
  <c r="F27" i="22"/>
  <c r="G27" i="22" s="1"/>
  <c r="H27" i="22" s="1"/>
  <c r="I27" i="22" s="1"/>
  <c r="F8" i="22"/>
  <c r="G8" i="22" s="1"/>
  <c r="H8" i="22" s="1"/>
  <c r="I8" i="22" s="1"/>
  <c r="F29" i="22"/>
  <c r="G29" i="22" s="1"/>
  <c r="H29" i="22" s="1"/>
  <c r="I29" i="22" s="1"/>
  <c r="F33" i="22"/>
  <c r="G33" i="22" s="1"/>
  <c r="H33" i="22" s="1"/>
  <c r="I33" i="22" s="1"/>
  <c r="F25" i="22"/>
  <c r="G25" i="22" s="1"/>
  <c r="H25" i="22" s="1"/>
  <c r="I25" i="22" s="1"/>
  <c r="F26" i="22"/>
  <c r="G26" i="22" s="1"/>
  <c r="H26" i="22" s="1"/>
  <c r="I26" i="22" s="1"/>
  <c r="F31" i="22"/>
  <c r="G31" i="22" s="1"/>
  <c r="H31" i="22" s="1"/>
  <c r="I31" i="22" s="1"/>
  <c r="F28" i="22"/>
  <c r="G28" i="22" s="1"/>
  <c r="H28" i="22" s="1"/>
  <c r="I28" i="22" s="1"/>
  <c r="F32" i="22"/>
  <c r="G32" i="22" s="1"/>
  <c r="H32" i="22" s="1"/>
  <c r="I32" i="22" s="1"/>
  <c r="F10" i="22"/>
  <c r="G10" i="22" s="1"/>
  <c r="H10" i="22" s="1"/>
  <c r="I10" i="22" s="1"/>
  <c r="F12" i="22"/>
  <c r="G12" i="22" s="1"/>
  <c r="H12" i="22" s="1"/>
  <c r="I12" i="22" s="1"/>
  <c r="F14" i="22"/>
  <c r="G14" i="22" s="1"/>
  <c r="H14" i="22" s="1"/>
  <c r="I14" i="22" s="1"/>
  <c r="F16" i="22"/>
  <c r="G16" i="22" s="1"/>
  <c r="H16" i="22" s="1"/>
  <c r="I16" i="22" s="1"/>
  <c r="F18" i="22"/>
  <c r="G18" i="22" s="1"/>
  <c r="H18" i="22" s="1"/>
  <c r="I18" i="22" s="1"/>
  <c r="F20" i="22"/>
  <c r="G20" i="22" s="1"/>
  <c r="H20" i="22" s="1"/>
  <c r="I20" i="22" s="1"/>
  <c r="F22" i="22"/>
  <c r="G22" i="22" s="1"/>
  <c r="H22" i="22" s="1"/>
  <c r="I22" i="22" s="1"/>
  <c r="F24" i="22"/>
  <c r="G24" i="22" s="1"/>
  <c r="H24" i="22" s="1"/>
  <c r="I24" i="22" s="1"/>
  <c r="F30" i="22"/>
  <c r="G30" i="22" s="1"/>
  <c r="H30" i="22" s="1"/>
  <c r="I30" i="22" s="1"/>
  <c r="G7" i="15"/>
  <c r="F7" i="22"/>
  <c r="G7" i="22" s="1"/>
  <c r="H7" i="22" s="1"/>
  <c r="I7" i="22" s="1"/>
  <c r="F9" i="21"/>
  <c r="G9" i="21" s="1"/>
  <c r="H9" i="21" s="1"/>
  <c r="I9" i="21" s="1"/>
  <c r="F12" i="21"/>
  <c r="G12" i="21" s="1"/>
  <c r="H12" i="21" s="1"/>
  <c r="I12" i="21" s="1"/>
  <c r="F19" i="21"/>
  <c r="G19" i="21" s="1"/>
  <c r="H19" i="21" s="1"/>
  <c r="I19" i="21" s="1"/>
  <c r="F13" i="21"/>
  <c r="G13" i="21" s="1"/>
  <c r="H13" i="21" s="1"/>
  <c r="I13" i="21" s="1"/>
  <c r="F33" i="21"/>
  <c r="G33" i="21" s="1"/>
  <c r="H33" i="21" s="1"/>
  <c r="I33" i="21" s="1"/>
  <c r="F24" i="21"/>
  <c r="G24" i="21" s="1"/>
  <c r="H24" i="21" s="1"/>
  <c r="I24" i="21" s="1"/>
  <c r="F25" i="21"/>
  <c r="G25" i="21" s="1"/>
  <c r="H25" i="21" s="1"/>
  <c r="I25" i="21" s="1"/>
  <c r="F26" i="21"/>
  <c r="G26" i="21" s="1"/>
  <c r="H26" i="21" s="1"/>
  <c r="I26" i="21" s="1"/>
  <c r="F27" i="21"/>
  <c r="G27" i="21" s="1"/>
  <c r="H27" i="21" s="1"/>
  <c r="I27" i="21" s="1"/>
  <c r="F28" i="21"/>
  <c r="G28" i="21" s="1"/>
  <c r="H28" i="21" s="1"/>
  <c r="I28" i="21" s="1"/>
  <c r="F29" i="21"/>
  <c r="G29" i="21" s="1"/>
  <c r="H29" i="21" s="1"/>
  <c r="I29" i="21" s="1"/>
  <c r="F30" i="21"/>
  <c r="G30" i="21" s="1"/>
  <c r="H30" i="21" s="1"/>
  <c r="I30" i="21" s="1"/>
  <c r="F31" i="21"/>
  <c r="G31" i="21" s="1"/>
  <c r="H31" i="21" s="1"/>
  <c r="I31" i="21" s="1"/>
  <c r="F32" i="21"/>
  <c r="G32" i="21" s="1"/>
  <c r="H32" i="21" s="1"/>
  <c r="I32" i="21" s="1"/>
  <c r="F15" i="21"/>
  <c r="G15" i="21" s="1"/>
  <c r="H15" i="21" s="1"/>
  <c r="I15" i="21" s="1"/>
  <c r="F18" i="21"/>
  <c r="G18" i="21" s="1"/>
  <c r="H18" i="21" s="1"/>
  <c r="I18" i="21" s="1"/>
  <c r="F21" i="21"/>
  <c r="G21" i="21" s="1"/>
  <c r="H21" i="21" s="1"/>
  <c r="I21" i="21" s="1"/>
  <c r="F8" i="21"/>
  <c r="G8" i="21" s="1"/>
  <c r="H8" i="21" s="1"/>
  <c r="I8" i="21" s="1"/>
  <c r="F22" i="21"/>
  <c r="G22" i="21" s="1"/>
  <c r="H22" i="21" s="1"/>
  <c r="I22" i="21" s="1"/>
  <c r="F16" i="21"/>
  <c r="G16" i="21" s="1"/>
  <c r="H16" i="21" s="1"/>
  <c r="I16" i="21" s="1"/>
  <c r="F11" i="21"/>
  <c r="G11" i="21" s="1"/>
  <c r="H11" i="21" s="1"/>
  <c r="I11" i="21" s="1"/>
  <c r="F14" i="21"/>
  <c r="G14" i="21" s="1"/>
  <c r="H14" i="21" s="1"/>
  <c r="I14" i="21" s="1"/>
  <c r="F17" i="21"/>
  <c r="G17" i="21" s="1"/>
  <c r="H17" i="21" s="1"/>
  <c r="I17" i="21" s="1"/>
  <c r="F20" i="21"/>
  <c r="G20" i="21" s="1"/>
  <c r="H20" i="21" s="1"/>
  <c r="I20" i="21" s="1"/>
  <c r="F23" i="21"/>
  <c r="G23" i="21" s="1"/>
  <c r="H23" i="21" s="1"/>
  <c r="I23" i="21" s="1"/>
  <c r="F10" i="21"/>
  <c r="G10" i="21" s="1"/>
  <c r="H10" i="21" s="1"/>
  <c r="I10" i="21" s="1"/>
  <c r="G6" i="15"/>
  <c r="F11" i="20"/>
  <c r="G11" i="20" s="1"/>
  <c r="F14" i="20"/>
  <c r="G14" i="20" s="1"/>
  <c r="F17" i="20"/>
  <c r="G17" i="20" s="1"/>
  <c r="F10" i="20"/>
  <c r="G10" i="20" s="1"/>
  <c r="F19" i="20"/>
  <c r="G19" i="20" s="1"/>
  <c r="F15" i="20"/>
  <c r="G15" i="20" s="1"/>
  <c r="F20" i="20"/>
  <c r="G20" i="20" s="1"/>
  <c r="F21" i="20"/>
  <c r="G21" i="20" s="1"/>
  <c r="F22" i="20"/>
  <c r="G22" i="20" s="1"/>
  <c r="F23" i="20"/>
  <c r="G23" i="20" s="1"/>
  <c r="F24" i="20"/>
  <c r="G24" i="20" s="1"/>
  <c r="F25" i="20"/>
  <c r="G25" i="20" s="1"/>
  <c r="F9" i="20"/>
  <c r="G9" i="20" s="1"/>
  <c r="F12" i="20"/>
  <c r="G12" i="20" s="1"/>
  <c r="F8" i="20"/>
  <c r="G8" i="20" s="1"/>
  <c r="F13" i="20"/>
  <c r="G13" i="20" s="1"/>
  <c r="F16" i="20"/>
  <c r="G16" i="20" s="1"/>
  <c r="F18" i="20"/>
  <c r="G18" i="20" s="1"/>
  <c r="F26" i="20"/>
  <c r="G26" i="20" s="1"/>
  <c r="G5" i="15"/>
  <c r="F7" i="20"/>
  <c r="G7" i="20" s="1"/>
  <c r="F19" i="19"/>
  <c r="G19" i="19" s="1"/>
  <c r="H19" i="19" s="1"/>
  <c r="I19" i="19" s="1"/>
  <c r="F9" i="19"/>
  <c r="G9" i="19" s="1"/>
  <c r="H9" i="19" s="1"/>
  <c r="I9" i="19" s="1"/>
  <c r="F10" i="19"/>
  <c r="G10" i="19" s="1"/>
  <c r="H10" i="19" s="1"/>
  <c r="I10" i="19" s="1"/>
  <c r="F11" i="19"/>
  <c r="G11" i="19" s="1"/>
  <c r="H11" i="19" s="1"/>
  <c r="I11" i="19" s="1"/>
  <c r="F12" i="19"/>
  <c r="G12" i="19" s="1"/>
  <c r="H12" i="19" s="1"/>
  <c r="I12" i="19" s="1"/>
  <c r="F13" i="19"/>
  <c r="G13" i="19" s="1"/>
  <c r="H13" i="19" s="1"/>
  <c r="I13" i="19" s="1"/>
  <c r="F14" i="19"/>
  <c r="G14" i="19" s="1"/>
  <c r="H14" i="19" s="1"/>
  <c r="I14" i="19" s="1"/>
  <c r="F15" i="19"/>
  <c r="G15" i="19" s="1"/>
  <c r="H15" i="19" s="1"/>
  <c r="I15" i="19" s="1"/>
  <c r="F16" i="19"/>
  <c r="G16" i="19" s="1"/>
  <c r="H16" i="19" s="1"/>
  <c r="I16" i="19" s="1"/>
  <c r="F17" i="19"/>
  <c r="G17" i="19" s="1"/>
  <c r="H17" i="19" s="1"/>
  <c r="I17" i="19" s="1"/>
  <c r="F18" i="19"/>
  <c r="G18" i="19" s="1"/>
  <c r="H18" i="19" s="1"/>
  <c r="I18" i="19" s="1"/>
  <c r="F21" i="19"/>
  <c r="G21" i="19" s="1"/>
  <c r="H21" i="19" s="1"/>
  <c r="I21" i="19" s="1"/>
  <c r="F23" i="19"/>
  <c r="G23" i="19" s="1"/>
  <c r="H23" i="19" s="1"/>
  <c r="I23" i="19" s="1"/>
  <c r="F25" i="19"/>
  <c r="G25" i="19" s="1"/>
  <c r="H25" i="19" s="1"/>
  <c r="I25" i="19" s="1"/>
  <c r="F8" i="19"/>
  <c r="G8" i="19" s="1"/>
  <c r="F20" i="19"/>
  <c r="G20" i="19" s="1"/>
  <c r="H20" i="19" s="1"/>
  <c r="I20" i="19" s="1"/>
  <c r="F22" i="19"/>
  <c r="G22" i="19" s="1"/>
  <c r="H22" i="19" s="1"/>
  <c r="I22" i="19" s="1"/>
  <c r="F24" i="19"/>
  <c r="G24" i="19" s="1"/>
  <c r="H24" i="19" s="1"/>
  <c r="I24" i="19" s="1"/>
  <c r="F26" i="19"/>
  <c r="G26" i="19" s="1"/>
  <c r="H26" i="19" s="1"/>
  <c r="I26" i="19" s="1"/>
  <c r="G4" i="15"/>
  <c r="AB92" i="17" l="1"/>
  <c r="E5" i="16"/>
  <c r="H11" i="20"/>
  <c r="I11" i="20" s="1"/>
  <c r="E8" i="16"/>
  <c r="H12" i="20"/>
  <c r="I12" i="20" s="1"/>
  <c r="E9" i="16"/>
  <c r="H13" i="20"/>
  <c r="I13" i="20" s="1"/>
  <c r="E10" i="16"/>
  <c r="H9" i="20"/>
  <c r="I9" i="20" s="1"/>
  <c r="E6" i="16"/>
  <c r="H25" i="20"/>
  <c r="I25" i="20" s="1"/>
  <c r="E22" i="16"/>
  <c r="H16" i="20"/>
  <c r="I16" i="20" s="1"/>
  <c r="E13" i="16"/>
  <c r="H24" i="20"/>
  <c r="I24" i="20" s="1"/>
  <c r="E21" i="16"/>
  <c r="H23" i="20"/>
  <c r="I23" i="20" s="1"/>
  <c r="E20" i="16"/>
  <c r="H22" i="20"/>
  <c r="I22" i="20" s="1"/>
  <c r="E19" i="16"/>
  <c r="H21" i="20"/>
  <c r="I21" i="20" s="1"/>
  <c r="E18" i="16"/>
  <c r="H15" i="20"/>
  <c r="I15" i="20" s="1"/>
  <c r="E12" i="16"/>
  <c r="H18" i="20"/>
  <c r="I18" i="20" s="1"/>
  <c r="E15" i="16"/>
  <c r="H20" i="20"/>
  <c r="I20" i="20" s="1"/>
  <c r="E17" i="16"/>
  <c r="H7" i="20"/>
  <c r="I7" i="20" s="1"/>
  <c r="E4" i="16"/>
  <c r="H19" i="20"/>
  <c r="I19" i="20" s="1"/>
  <c r="E16" i="16"/>
  <c r="H14" i="20"/>
  <c r="I14" i="20" s="1"/>
  <c r="E11" i="16"/>
  <c r="H10" i="20"/>
  <c r="I10" i="20" s="1"/>
  <c r="E7" i="16"/>
  <c r="H26" i="20"/>
  <c r="I26" i="20" s="1"/>
  <c r="E23" i="16"/>
  <c r="H17" i="20"/>
  <c r="I17" i="20" s="1"/>
  <c r="E14" i="16"/>
  <c r="F10" i="30"/>
  <c r="G10" i="30" s="1"/>
  <c r="H10" i="30" s="1"/>
  <c r="I10" i="30" s="1"/>
  <c r="F41" i="30"/>
  <c r="G41" i="30" s="1"/>
  <c r="H41" i="30" s="1"/>
  <c r="I41" i="30" s="1"/>
  <c r="F64" i="30"/>
  <c r="G64" i="30" s="1"/>
  <c r="F45" i="30"/>
  <c r="G45" i="30" s="1"/>
  <c r="H45" i="30" s="1"/>
  <c r="I45" i="30" s="1"/>
  <c r="F73" i="30"/>
  <c r="G73" i="30" s="1"/>
  <c r="F57" i="30"/>
  <c r="G57" i="30" s="1"/>
  <c r="H57" i="30" s="1"/>
  <c r="I57" i="30" s="1"/>
  <c r="F64" i="29"/>
  <c r="G64" i="29" s="1"/>
  <c r="F9" i="29"/>
  <c r="G9" i="29" s="1"/>
  <c r="H9" i="29" s="1"/>
  <c r="I9" i="29" s="1"/>
  <c r="F23" i="29"/>
  <c r="G23" i="29" s="1"/>
  <c r="H23" i="29" s="1"/>
  <c r="I23" i="29" s="1"/>
  <c r="F59" i="30"/>
  <c r="G59" i="30" s="1"/>
  <c r="F71" i="29"/>
  <c r="G71" i="29" s="1"/>
  <c r="H71" i="29" s="1"/>
  <c r="I71" i="29" s="1"/>
  <c r="F63" i="30"/>
  <c r="G63" i="30" s="1"/>
  <c r="H63" i="30" s="1"/>
  <c r="I63" i="30" s="1"/>
  <c r="F23" i="30"/>
  <c r="G23" i="30" s="1"/>
  <c r="H23" i="30" s="1"/>
  <c r="I23" i="30" s="1"/>
  <c r="F90" i="30"/>
  <c r="G90" i="30" s="1"/>
  <c r="H90" i="30" s="1"/>
  <c r="I90" i="30" s="1"/>
  <c r="F87" i="29"/>
  <c r="G87" i="29" s="1"/>
  <c r="H87" i="29" s="1"/>
  <c r="I87" i="29" s="1"/>
  <c r="F56" i="30"/>
  <c r="G56" i="30" s="1"/>
  <c r="F25" i="30"/>
  <c r="G25" i="30" s="1"/>
  <c r="H25" i="30" s="1"/>
  <c r="I25" i="30" s="1"/>
  <c r="F86" i="30"/>
  <c r="G86" i="30" s="1"/>
  <c r="H86" i="30" s="1"/>
  <c r="I86" i="30" s="1"/>
  <c r="F76" i="29"/>
  <c r="G76" i="29" s="1"/>
  <c r="H76" i="29" s="1"/>
  <c r="I76" i="29" s="1"/>
  <c r="F35" i="29"/>
  <c r="G35" i="29" s="1"/>
  <c r="H35" i="29" s="1"/>
  <c r="I35" i="29" s="1"/>
  <c r="F33" i="30"/>
  <c r="G33" i="30" s="1"/>
  <c r="H33" i="30" s="1"/>
  <c r="I33" i="30" s="1"/>
  <c r="F40" i="30"/>
  <c r="G40" i="30" s="1"/>
  <c r="H40" i="30" s="1"/>
  <c r="I40" i="30" s="1"/>
  <c r="G16" i="15"/>
  <c r="F91" i="30"/>
  <c r="G91" i="30" s="1"/>
  <c r="F42" i="29"/>
  <c r="G42" i="29" s="1"/>
  <c r="H42" i="29" s="1"/>
  <c r="I42" i="29" s="1"/>
  <c r="F51" i="29"/>
  <c r="G51" i="29" s="1"/>
  <c r="F31" i="30"/>
  <c r="G31" i="30" s="1"/>
  <c r="H31" i="30" s="1"/>
  <c r="I31" i="30" s="1"/>
  <c r="F53" i="30"/>
  <c r="G53" i="30" s="1"/>
  <c r="H53" i="30" s="1"/>
  <c r="I53" i="30" s="1"/>
  <c r="F73" i="31"/>
  <c r="G73" i="31" s="1"/>
  <c r="H73" i="31" s="1"/>
  <c r="I73" i="31" s="1"/>
  <c r="F9" i="30"/>
  <c r="G9" i="30" s="1"/>
  <c r="H9" i="30" s="1"/>
  <c r="I9" i="30" s="1"/>
  <c r="F58" i="29"/>
  <c r="G58" i="29" s="1"/>
  <c r="H58" i="29" s="1"/>
  <c r="I58" i="29" s="1"/>
  <c r="F68" i="30"/>
  <c r="G68" i="30" s="1"/>
  <c r="H68" i="30" s="1"/>
  <c r="I68" i="30" s="1"/>
  <c r="F77" i="30"/>
  <c r="G77" i="30" s="1"/>
  <c r="H77" i="30" s="1"/>
  <c r="I77" i="30" s="1"/>
  <c r="F19" i="31"/>
  <c r="G19" i="31" s="1"/>
  <c r="H19" i="31" s="1"/>
  <c r="I19" i="31" s="1"/>
  <c r="F42" i="31"/>
  <c r="G42" i="31" s="1"/>
  <c r="H42" i="31" s="1"/>
  <c r="I42" i="31" s="1"/>
  <c r="M22" i="33"/>
  <c r="D34" i="33"/>
  <c r="M34" i="33" s="1"/>
  <c r="F94" i="31"/>
  <c r="G94" i="31" s="1"/>
  <c r="H94" i="31" s="1"/>
  <c r="I94" i="31" s="1"/>
  <c r="F34" i="31"/>
  <c r="G34" i="31" s="1"/>
  <c r="H34" i="31" s="1"/>
  <c r="I34" i="31" s="1"/>
  <c r="F54" i="31"/>
  <c r="G54" i="31" s="1"/>
  <c r="H54" i="31" s="1"/>
  <c r="I54" i="31" s="1"/>
  <c r="F82" i="31"/>
  <c r="G82" i="31" s="1"/>
  <c r="H82" i="31" s="1"/>
  <c r="I82" i="31" s="1"/>
  <c r="F26" i="31"/>
  <c r="G26" i="31" s="1"/>
  <c r="H26" i="31" s="1"/>
  <c r="I26" i="31" s="1"/>
  <c r="F46" i="31"/>
  <c r="G46" i="31" s="1"/>
  <c r="H46" i="31" s="1"/>
  <c r="I46" i="31" s="1"/>
  <c r="F93" i="31"/>
  <c r="G93" i="31" s="1"/>
  <c r="H93" i="31" s="1"/>
  <c r="I93" i="31" s="1"/>
  <c r="F18" i="31"/>
  <c r="G18" i="31" s="1"/>
  <c r="H18" i="31" s="1"/>
  <c r="I18" i="31" s="1"/>
  <c r="F35" i="31"/>
  <c r="G35" i="31" s="1"/>
  <c r="H35" i="31" s="1"/>
  <c r="I35" i="31" s="1"/>
  <c r="F85" i="31"/>
  <c r="G85" i="31" s="1"/>
  <c r="H85" i="31" s="1"/>
  <c r="I85" i="31" s="1"/>
  <c r="F27" i="31"/>
  <c r="G27" i="31" s="1"/>
  <c r="H27" i="31" s="1"/>
  <c r="I27" i="31" s="1"/>
  <c r="F68" i="31"/>
  <c r="G68" i="31" s="1"/>
  <c r="H68" i="31" s="1"/>
  <c r="I68" i="31" s="1"/>
  <c r="F83" i="31"/>
  <c r="G83" i="31" s="1"/>
  <c r="H83" i="31" s="1"/>
  <c r="I83" i="31" s="1"/>
  <c r="F11" i="31"/>
  <c r="G11" i="31" s="1"/>
  <c r="H11" i="31" s="1"/>
  <c r="I11" i="31" s="1"/>
  <c r="F53" i="31"/>
  <c r="G53" i="31" s="1"/>
  <c r="H53" i="31" s="1"/>
  <c r="I53" i="31" s="1"/>
  <c r="F65" i="31"/>
  <c r="G65" i="31" s="1"/>
  <c r="H65" i="31" s="1"/>
  <c r="I65" i="31" s="1"/>
  <c r="F87" i="31"/>
  <c r="G87" i="31" s="1"/>
  <c r="H87" i="31" s="1"/>
  <c r="I87" i="31" s="1"/>
  <c r="F80" i="29"/>
  <c r="G80" i="29" s="1"/>
  <c r="H80" i="29" s="1"/>
  <c r="I80" i="29" s="1"/>
  <c r="F21" i="29"/>
  <c r="G21" i="29" s="1"/>
  <c r="H21" i="29" s="1"/>
  <c r="I21" i="29" s="1"/>
  <c r="F7" i="29"/>
  <c r="G7" i="29" s="1"/>
  <c r="H7" i="29" s="1"/>
  <c r="I7" i="29" s="1"/>
  <c r="F70" i="29"/>
  <c r="G70" i="29" s="1"/>
  <c r="H70" i="29" s="1"/>
  <c r="I70" i="29" s="1"/>
  <c r="F40" i="29"/>
  <c r="G40" i="29" s="1"/>
  <c r="H40" i="29" s="1"/>
  <c r="I40" i="29" s="1"/>
  <c r="F56" i="29"/>
  <c r="G56" i="29" s="1"/>
  <c r="H56" i="29" s="1"/>
  <c r="I56" i="29" s="1"/>
  <c r="F18" i="29"/>
  <c r="G18" i="29" s="1"/>
  <c r="H18" i="29" s="1"/>
  <c r="I18" i="29" s="1"/>
  <c r="F88" i="29"/>
  <c r="G88" i="29" s="1"/>
  <c r="H88" i="29" s="1"/>
  <c r="I88" i="29" s="1"/>
  <c r="F25" i="29"/>
  <c r="G25" i="29" s="1"/>
  <c r="H25" i="29" s="1"/>
  <c r="I25" i="29" s="1"/>
  <c r="F69" i="29"/>
  <c r="G69" i="29" s="1"/>
  <c r="H69" i="29" s="1"/>
  <c r="I69" i="29" s="1"/>
  <c r="F85" i="29"/>
  <c r="G85" i="29" s="1"/>
  <c r="H85" i="29" s="1"/>
  <c r="I85" i="29" s="1"/>
  <c r="F24" i="29"/>
  <c r="G24" i="29" s="1"/>
  <c r="H24" i="29" s="1"/>
  <c r="I24" i="29" s="1"/>
  <c r="F49" i="29"/>
  <c r="G49" i="29" s="1"/>
  <c r="H49" i="29" s="1"/>
  <c r="I49" i="29" s="1"/>
  <c r="F15" i="29"/>
  <c r="G15" i="29" s="1"/>
  <c r="H15" i="29" s="1"/>
  <c r="I15" i="29" s="1"/>
  <c r="F43" i="30"/>
  <c r="G43" i="30" s="1"/>
  <c r="H43" i="30" s="1"/>
  <c r="I43" i="30" s="1"/>
  <c r="F67" i="30"/>
  <c r="G67" i="30" s="1"/>
  <c r="H67" i="30" s="1"/>
  <c r="I67" i="30" s="1"/>
  <c r="F35" i="30"/>
  <c r="G35" i="30" s="1"/>
  <c r="H35" i="30" s="1"/>
  <c r="I35" i="30" s="1"/>
  <c r="F72" i="30"/>
  <c r="G72" i="30" s="1"/>
  <c r="H72" i="30" s="1"/>
  <c r="I72" i="30" s="1"/>
  <c r="F54" i="30"/>
  <c r="G54" i="30" s="1"/>
  <c r="H54" i="30" s="1"/>
  <c r="I54" i="30" s="1"/>
  <c r="F21" i="30"/>
  <c r="G21" i="30" s="1"/>
  <c r="F42" i="30"/>
  <c r="G42" i="30" s="1"/>
  <c r="H42" i="30" s="1"/>
  <c r="I42" i="30" s="1"/>
  <c r="F81" i="30"/>
  <c r="G81" i="30" s="1"/>
  <c r="H81" i="30" s="1"/>
  <c r="I81" i="30" s="1"/>
  <c r="F55" i="30"/>
  <c r="G55" i="30" s="1"/>
  <c r="H55" i="30" s="1"/>
  <c r="I55" i="30" s="1"/>
  <c r="F30" i="30"/>
  <c r="G30" i="30" s="1"/>
  <c r="H30" i="30" s="1"/>
  <c r="I30" i="30" s="1"/>
  <c r="F62" i="30"/>
  <c r="G62" i="30" s="1"/>
  <c r="H62" i="30" s="1"/>
  <c r="I62" i="30" s="1"/>
  <c r="F89" i="29"/>
  <c r="G89" i="29" s="1"/>
  <c r="H89" i="29" s="1"/>
  <c r="I89" i="29" s="1"/>
  <c r="H8" i="20"/>
  <c r="I8" i="20" s="1"/>
  <c r="F32" i="29"/>
  <c r="G32" i="29" s="1"/>
  <c r="H32" i="29" s="1"/>
  <c r="I32" i="29" s="1"/>
  <c r="F84" i="29"/>
  <c r="G84" i="29" s="1"/>
  <c r="H84" i="29" s="1"/>
  <c r="I84" i="29" s="1"/>
  <c r="F46" i="29"/>
  <c r="G46" i="29" s="1"/>
  <c r="H46" i="29" s="1"/>
  <c r="I46" i="29" s="1"/>
  <c r="F62" i="29"/>
  <c r="G62" i="29" s="1"/>
  <c r="H62" i="29" s="1"/>
  <c r="I62" i="29" s="1"/>
  <c r="F72" i="29"/>
  <c r="G72" i="29" s="1"/>
  <c r="H72" i="29" s="1"/>
  <c r="I72" i="29" s="1"/>
  <c r="F13" i="29"/>
  <c r="G13" i="29" s="1"/>
  <c r="H13" i="29" s="1"/>
  <c r="I13" i="29" s="1"/>
  <c r="F19" i="29"/>
  <c r="G19" i="29" s="1"/>
  <c r="H19" i="29" s="1"/>
  <c r="I19" i="29" s="1"/>
  <c r="F75" i="29"/>
  <c r="G75" i="29" s="1"/>
  <c r="H75" i="29" s="1"/>
  <c r="I75" i="29" s="1"/>
  <c r="F93" i="29"/>
  <c r="G93" i="29" s="1"/>
  <c r="H93" i="29" s="1"/>
  <c r="I93" i="29" s="1"/>
  <c r="F39" i="29"/>
  <c r="G39" i="29" s="1"/>
  <c r="H39" i="29" s="1"/>
  <c r="I39" i="29" s="1"/>
  <c r="F55" i="29"/>
  <c r="G55" i="29" s="1"/>
  <c r="H55" i="29" s="1"/>
  <c r="I55" i="29" s="1"/>
  <c r="F14" i="30"/>
  <c r="G14" i="30" s="1"/>
  <c r="F87" i="30"/>
  <c r="G87" i="30" s="1"/>
  <c r="H87" i="30" s="1"/>
  <c r="I87" i="30" s="1"/>
  <c r="F58" i="30"/>
  <c r="G58" i="30" s="1"/>
  <c r="H58" i="30" s="1"/>
  <c r="I58" i="30" s="1"/>
  <c r="F92" i="30"/>
  <c r="G92" i="30" s="1"/>
  <c r="H92" i="30" s="1"/>
  <c r="I92" i="30" s="1"/>
  <c r="F60" i="30"/>
  <c r="G60" i="30" s="1"/>
  <c r="H60" i="30" s="1"/>
  <c r="I60" i="30" s="1"/>
  <c r="F11" i="30"/>
  <c r="G11" i="30" s="1"/>
  <c r="H11" i="30" s="1"/>
  <c r="I11" i="30" s="1"/>
  <c r="F27" i="30"/>
  <c r="G27" i="30" s="1"/>
  <c r="H27" i="30" s="1"/>
  <c r="I27" i="30" s="1"/>
  <c r="F52" i="30"/>
  <c r="G52" i="30" s="1"/>
  <c r="H52" i="30" s="1"/>
  <c r="I52" i="30" s="1"/>
  <c r="F69" i="30"/>
  <c r="G69" i="30" s="1"/>
  <c r="H69" i="30" s="1"/>
  <c r="I69" i="30" s="1"/>
  <c r="F49" i="30"/>
  <c r="G49" i="30" s="1"/>
  <c r="H49" i="30" s="1"/>
  <c r="I49" i="30" s="1"/>
  <c r="F7" i="31"/>
  <c r="G7" i="31" s="1"/>
  <c r="H7" i="31" s="1"/>
  <c r="I7" i="31" s="1"/>
  <c r="L26" i="33"/>
  <c r="L38" i="33" s="1"/>
  <c r="I26" i="33"/>
  <c r="J26" i="33"/>
  <c r="J38" i="33" s="1"/>
  <c r="K26" i="33"/>
  <c r="K38" i="33" s="1"/>
  <c r="F68" i="29"/>
  <c r="G68" i="29" s="1"/>
  <c r="H68" i="29" s="1"/>
  <c r="I68" i="29" s="1"/>
  <c r="F37" i="29"/>
  <c r="G37" i="29" s="1"/>
  <c r="H37" i="29" s="1"/>
  <c r="I37" i="29" s="1"/>
  <c r="F7" i="30"/>
  <c r="G7" i="30" s="1"/>
  <c r="H7" i="30" s="1"/>
  <c r="I7" i="30" s="1"/>
  <c r="I25" i="33"/>
  <c r="J25" i="33"/>
  <c r="J37" i="33" s="1"/>
  <c r="L25" i="33"/>
  <c r="L37" i="33" s="1"/>
  <c r="K25" i="33"/>
  <c r="K37" i="33" s="1"/>
  <c r="F28" i="29"/>
  <c r="G28" i="29" s="1"/>
  <c r="H28" i="29" s="1"/>
  <c r="I28" i="29" s="1"/>
  <c r="F90" i="29"/>
  <c r="G90" i="29" s="1"/>
  <c r="H90" i="29" s="1"/>
  <c r="I90" i="29" s="1"/>
  <c r="F48" i="29"/>
  <c r="G48" i="29" s="1"/>
  <c r="H48" i="29" s="1"/>
  <c r="I48" i="29" s="1"/>
  <c r="F10" i="29"/>
  <c r="G10" i="29" s="1"/>
  <c r="H10" i="29" s="1"/>
  <c r="I10" i="29" s="1"/>
  <c r="F74" i="29"/>
  <c r="G74" i="29" s="1"/>
  <c r="H74" i="29" s="1"/>
  <c r="I74" i="29" s="1"/>
  <c r="F33" i="29"/>
  <c r="G33" i="29" s="1"/>
  <c r="H33" i="29" s="1"/>
  <c r="I33" i="29" s="1"/>
  <c r="F17" i="29"/>
  <c r="G17" i="29" s="1"/>
  <c r="H17" i="29" s="1"/>
  <c r="I17" i="29" s="1"/>
  <c r="F77" i="29"/>
  <c r="G77" i="29" s="1"/>
  <c r="H77" i="29" s="1"/>
  <c r="I77" i="29" s="1"/>
  <c r="F92" i="29"/>
  <c r="G92" i="29" s="1"/>
  <c r="H92" i="29" s="1"/>
  <c r="I92" i="29" s="1"/>
  <c r="F41" i="29"/>
  <c r="G41" i="29" s="1"/>
  <c r="F57" i="29"/>
  <c r="G57" i="29" s="1"/>
  <c r="H57" i="29" s="1"/>
  <c r="I57" i="29" s="1"/>
  <c r="F20" i="30"/>
  <c r="G20" i="30" s="1"/>
  <c r="H20" i="30" s="1"/>
  <c r="I20" i="30" s="1"/>
  <c r="F83" i="30"/>
  <c r="G83" i="30" s="1"/>
  <c r="H83" i="30" s="1"/>
  <c r="I83" i="30" s="1"/>
  <c r="F94" i="30"/>
  <c r="G94" i="30" s="1"/>
  <c r="H94" i="30" s="1"/>
  <c r="I94" i="30" s="1"/>
  <c r="F88" i="30"/>
  <c r="G88" i="30" s="1"/>
  <c r="H88" i="30" s="1"/>
  <c r="I88" i="30" s="1"/>
  <c r="F12" i="30"/>
  <c r="G12" i="30" s="1"/>
  <c r="H12" i="30" s="1"/>
  <c r="I12" i="30" s="1"/>
  <c r="F13" i="30"/>
  <c r="G13" i="30" s="1"/>
  <c r="H13" i="30" s="1"/>
  <c r="I13" i="30" s="1"/>
  <c r="F29" i="30"/>
  <c r="G29" i="30" s="1"/>
  <c r="H29" i="30" s="1"/>
  <c r="I29" i="30" s="1"/>
  <c r="F51" i="30"/>
  <c r="G51" i="30" s="1"/>
  <c r="H51" i="30" s="1"/>
  <c r="I51" i="30" s="1"/>
  <c r="F65" i="30"/>
  <c r="G65" i="30" s="1"/>
  <c r="H65" i="30" s="1"/>
  <c r="I65" i="30" s="1"/>
  <c r="F38" i="30"/>
  <c r="G38" i="30" s="1"/>
  <c r="H38" i="30" s="1"/>
  <c r="I38" i="30" s="1"/>
  <c r="F78" i="30"/>
  <c r="G78" i="30" s="1"/>
  <c r="H78" i="30" s="1"/>
  <c r="I78" i="30" s="1"/>
  <c r="F60" i="29"/>
  <c r="G60" i="29" s="1"/>
  <c r="H60" i="29" s="1"/>
  <c r="I60" i="29" s="1"/>
  <c r="F20" i="29"/>
  <c r="G20" i="29" s="1"/>
  <c r="H20" i="29" s="1"/>
  <c r="I20" i="29" s="1"/>
  <c r="F34" i="29"/>
  <c r="G34" i="29" s="1"/>
  <c r="H34" i="29" s="1"/>
  <c r="I34" i="29" s="1"/>
  <c r="F50" i="29"/>
  <c r="G50" i="29" s="1"/>
  <c r="H50" i="29" s="1"/>
  <c r="I50" i="29" s="1"/>
  <c r="F30" i="29"/>
  <c r="G30" i="29" s="1"/>
  <c r="H30" i="29" s="1"/>
  <c r="I30" i="29" s="1"/>
  <c r="F78" i="29"/>
  <c r="G78" i="29" s="1"/>
  <c r="F31" i="29"/>
  <c r="G31" i="29" s="1"/>
  <c r="H31" i="29" s="1"/>
  <c r="I31" i="29" s="1"/>
  <c r="F63" i="29"/>
  <c r="G63" i="29" s="1"/>
  <c r="H63" i="29" s="1"/>
  <c r="I63" i="29" s="1"/>
  <c r="F79" i="29"/>
  <c r="G79" i="29" s="1"/>
  <c r="H79" i="29" s="1"/>
  <c r="I79" i="29" s="1"/>
  <c r="F91" i="29"/>
  <c r="G91" i="29" s="1"/>
  <c r="H91" i="29" s="1"/>
  <c r="I91" i="29" s="1"/>
  <c r="F43" i="29"/>
  <c r="G43" i="29" s="1"/>
  <c r="H43" i="29" s="1"/>
  <c r="I43" i="29" s="1"/>
  <c r="F24" i="30"/>
  <c r="G24" i="30" s="1"/>
  <c r="H24" i="30" s="1"/>
  <c r="I24" i="30" s="1"/>
  <c r="F79" i="30"/>
  <c r="G79" i="30" s="1"/>
  <c r="H79" i="30" s="1"/>
  <c r="I79" i="30" s="1"/>
  <c r="F50" i="30"/>
  <c r="G50" i="30" s="1"/>
  <c r="H50" i="30" s="1"/>
  <c r="I50" i="30" s="1"/>
  <c r="F84" i="30"/>
  <c r="G84" i="30" s="1"/>
  <c r="H84" i="30" s="1"/>
  <c r="I84" i="30" s="1"/>
  <c r="F18" i="30"/>
  <c r="G18" i="30" s="1"/>
  <c r="H18" i="30" s="1"/>
  <c r="I18" i="30" s="1"/>
  <c r="F15" i="30"/>
  <c r="G15" i="30" s="1"/>
  <c r="H15" i="30" s="1"/>
  <c r="I15" i="30" s="1"/>
  <c r="F48" i="30"/>
  <c r="G48" i="30" s="1"/>
  <c r="H48" i="30" s="1"/>
  <c r="I48" i="30" s="1"/>
  <c r="F93" i="30"/>
  <c r="G93" i="30" s="1"/>
  <c r="H93" i="30" s="1"/>
  <c r="I93" i="30" s="1"/>
  <c r="F61" i="30"/>
  <c r="G61" i="30" s="1"/>
  <c r="H61" i="30" s="1"/>
  <c r="I61" i="30" s="1"/>
  <c r="F36" i="30"/>
  <c r="G36" i="30" s="1"/>
  <c r="H36" i="30" s="1"/>
  <c r="I36" i="30" s="1"/>
  <c r="F74" i="30"/>
  <c r="G74" i="30" s="1"/>
  <c r="H74" i="30" s="1"/>
  <c r="I74" i="30" s="1"/>
  <c r="D33" i="33"/>
  <c r="M33" i="33" s="1"/>
  <c r="M21" i="33"/>
  <c r="H24" i="33"/>
  <c r="L24" i="33"/>
  <c r="L36" i="33" s="1"/>
  <c r="I24" i="33"/>
  <c r="I36" i="33" s="1"/>
  <c r="J24" i="33"/>
  <c r="J36" i="33" s="1"/>
  <c r="K24" i="33"/>
  <c r="K36" i="33" s="1"/>
  <c r="F12" i="29"/>
  <c r="G12" i="29" s="1"/>
  <c r="H12" i="29" s="1"/>
  <c r="I12" i="29" s="1"/>
  <c r="F11" i="29"/>
  <c r="G11" i="29" s="1"/>
  <c r="H11" i="29" s="1"/>
  <c r="I11" i="29" s="1"/>
  <c r="F53" i="29"/>
  <c r="G53" i="29" s="1"/>
  <c r="H53" i="29" s="1"/>
  <c r="I53" i="29" s="1"/>
  <c r="F16" i="29"/>
  <c r="G16" i="29" s="1"/>
  <c r="H16" i="29" s="1"/>
  <c r="I16" i="29" s="1"/>
  <c r="F36" i="29"/>
  <c r="G36" i="29" s="1"/>
  <c r="H36" i="29" s="1"/>
  <c r="I36" i="29" s="1"/>
  <c r="F52" i="29"/>
  <c r="G52" i="29" s="1"/>
  <c r="H52" i="29" s="1"/>
  <c r="I52" i="29" s="1"/>
  <c r="F26" i="29"/>
  <c r="G26" i="29" s="1"/>
  <c r="H26" i="29" s="1"/>
  <c r="I26" i="29" s="1"/>
  <c r="F82" i="29"/>
  <c r="G82" i="29" s="1"/>
  <c r="H82" i="29" s="1"/>
  <c r="I82" i="29" s="1"/>
  <c r="F29" i="29"/>
  <c r="G29" i="29" s="1"/>
  <c r="H29" i="29" s="1"/>
  <c r="I29" i="29" s="1"/>
  <c r="F65" i="29"/>
  <c r="G65" i="29" s="1"/>
  <c r="H65" i="29" s="1"/>
  <c r="I65" i="29" s="1"/>
  <c r="F81" i="29"/>
  <c r="G81" i="29" s="1"/>
  <c r="H81" i="29" s="1"/>
  <c r="I81" i="29" s="1"/>
  <c r="F8" i="29"/>
  <c r="G8" i="29" s="1"/>
  <c r="H8" i="29" s="1"/>
  <c r="I8" i="29" s="1"/>
  <c r="F45" i="29"/>
  <c r="G45" i="29" s="1"/>
  <c r="H45" i="29" s="1"/>
  <c r="I45" i="29" s="1"/>
  <c r="F61" i="29"/>
  <c r="G61" i="29" s="1"/>
  <c r="H61" i="29" s="1"/>
  <c r="I61" i="29" s="1"/>
  <c r="F28" i="30"/>
  <c r="G28" i="30" s="1"/>
  <c r="H28" i="30" s="1"/>
  <c r="I28" i="30" s="1"/>
  <c r="F75" i="30"/>
  <c r="G75" i="30" s="1"/>
  <c r="H75" i="30" s="1"/>
  <c r="I75" i="30" s="1"/>
  <c r="F39" i="30"/>
  <c r="G39" i="30" s="1"/>
  <c r="H39" i="30" s="1"/>
  <c r="I39" i="30" s="1"/>
  <c r="F80" i="30"/>
  <c r="G80" i="30" s="1"/>
  <c r="H80" i="30" s="1"/>
  <c r="I80" i="30" s="1"/>
  <c r="F22" i="30"/>
  <c r="G22" i="30" s="1"/>
  <c r="H22" i="30" s="1"/>
  <c r="I22" i="30" s="1"/>
  <c r="F17" i="30"/>
  <c r="G17" i="30" s="1"/>
  <c r="H17" i="30" s="1"/>
  <c r="I17" i="30" s="1"/>
  <c r="F46" i="30"/>
  <c r="G46" i="30" s="1"/>
  <c r="H46" i="30" s="1"/>
  <c r="I46" i="30" s="1"/>
  <c r="F89" i="30"/>
  <c r="G89" i="30" s="1"/>
  <c r="H89" i="30" s="1"/>
  <c r="I89" i="30" s="1"/>
  <c r="F16" i="30"/>
  <c r="G16" i="30" s="1"/>
  <c r="F34" i="30"/>
  <c r="G34" i="30" s="1"/>
  <c r="H34" i="30" s="1"/>
  <c r="I34" i="30" s="1"/>
  <c r="F70" i="30"/>
  <c r="G70" i="30" s="1"/>
  <c r="H70" i="30" s="1"/>
  <c r="I70" i="30" s="1"/>
  <c r="D10" i="33"/>
  <c r="E10" i="33" s="1"/>
  <c r="G10" i="33" s="1"/>
  <c r="F44" i="29"/>
  <c r="G44" i="29" s="1"/>
  <c r="H44" i="29" s="1"/>
  <c r="I44" i="29" s="1"/>
  <c r="F73" i="29"/>
  <c r="G73" i="29" s="1"/>
  <c r="H73" i="29" s="1"/>
  <c r="I73" i="29" s="1"/>
  <c r="F66" i="29"/>
  <c r="G66" i="29" s="1"/>
  <c r="H66" i="29" s="1"/>
  <c r="I66" i="29" s="1"/>
  <c r="F38" i="29"/>
  <c r="G38" i="29" s="1"/>
  <c r="H38" i="29" s="1"/>
  <c r="I38" i="29" s="1"/>
  <c r="F54" i="29"/>
  <c r="G54" i="29" s="1"/>
  <c r="H54" i="29" s="1"/>
  <c r="I54" i="29" s="1"/>
  <c r="F22" i="29"/>
  <c r="G22" i="29" s="1"/>
  <c r="H22" i="29" s="1"/>
  <c r="I22" i="29" s="1"/>
  <c r="F86" i="29"/>
  <c r="G86" i="29" s="1"/>
  <c r="H86" i="29" s="1"/>
  <c r="I86" i="29" s="1"/>
  <c r="F27" i="29"/>
  <c r="G27" i="29" s="1"/>
  <c r="H27" i="29" s="1"/>
  <c r="I27" i="29" s="1"/>
  <c r="F67" i="29"/>
  <c r="G67" i="29" s="1"/>
  <c r="H67" i="29" s="1"/>
  <c r="I67" i="29" s="1"/>
  <c r="F83" i="29"/>
  <c r="G83" i="29" s="1"/>
  <c r="H83" i="29" s="1"/>
  <c r="I83" i="29" s="1"/>
  <c r="F14" i="29"/>
  <c r="G14" i="29" s="1"/>
  <c r="H14" i="29" s="1"/>
  <c r="I14" i="29" s="1"/>
  <c r="F47" i="29"/>
  <c r="G47" i="29" s="1"/>
  <c r="H47" i="29" s="1"/>
  <c r="I47" i="29" s="1"/>
  <c r="F94" i="29"/>
  <c r="G94" i="29" s="1"/>
  <c r="H94" i="29" s="1"/>
  <c r="I94" i="29" s="1"/>
  <c r="F47" i="30"/>
  <c r="G47" i="30" s="1"/>
  <c r="H47" i="30" s="1"/>
  <c r="I47" i="30" s="1"/>
  <c r="F71" i="30"/>
  <c r="G71" i="30" s="1"/>
  <c r="H71" i="30" s="1"/>
  <c r="I71" i="30" s="1"/>
  <c r="F37" i="30"/>
  <c r="G37" i="30" s="1"/>
  <c r="H37" i="30" s="1"/>
  <c r="I37" i="30" s="1"/>
  <c r="F76" i="30"/>
  <c r="G76" i="30" s="1"/>
  <c r="H76" i="30" s="1"/>
  <c r="I76" i="30" s="1"/>
  <c r="F26" i="30"/>
  <c r="G26" i="30" s="1"/>
  <c r="H26" i="30" s="1"/>
  <c r="I26" i="30" s="1"/>
  <c r="F19" i="30"/>
  <c r="G19" i="30" s="1"/>
  <c r="H19" i="30" s="1"/>
  <c r="I19" i="30" s="1"/>
  <c r="F44" i="30"/>
  <c r="G44" i="30" s="1"/>
  <c r="H44" i="30" s="1"/>
  <c r="I44" i="30" s="1"/>
  <c r="F85" i="30"/>
  <c r="G85" i="30" s="1"/>
  <c r="H85" i="30" s="1"/>
  <c r="I85" i="30" s="1"/>
  <c r="F8" i="30"/>
  <c r="G8" i="30" s="1"/>
  <c r="H8" i="30" s="1"/>
  <c r="I8" i="30" s="1"/>
  <c r="F32" i="30"/>
  <c r="G32" i="30" s="1"/>
  <c r="H32" i="30" s="1"/>
  <c r="I32" i="30" s="1"/>
  <c r="F66" i="30"/>
  <c r="G66" i="30" s="1"/>
  <c r="H66" i="30" s="1"/>
  <c r="I66" i="30" s="1"/>
  <c r="F9" i="31"/>
  <c r="G9" i="31" s="1"/>
  <c r="H9" i="31" s="1"/>
  <c r="I9" i="31" s="1"/>
  <c r="F89" i="31"/>
  <c r="G89" i="31" s="1"/>
  <c r="H89" i="31" s="1"/>
  <c r="I89" i="31" s="1"/>
  <c r="F67" i="31"/>
  <c r="G67" i="31" s="1"/>
  <c r="H67" i="31" s="1"/>
  <c r="I67" i="31" s="1"/>
  <c r="F75" i="31"/>
  <c r="G75" i="31" s="1"/>
  <c r="H75" i="31" s="1"/>
  <c r="I75" i="31" s="1"/>
  <c r="F52" i="31"/>
  <c r="G52" i="31" s="1"/>
  <c r="H52" i="31" s="1"/>
  <c r="I52" i="31" s="1"/>
  <c r="F44" i="31"/>
  <c r="G44" i="31" s="1"/>
  <c r="F33" i="31"/>
  <c r="G33" i="31" s="1"/>
  <c r="H33" i="31" s="1"/>
  <c r="I33" i="31" s="1"/>
  <c r="F25" i="31"/>
  <c r="G25" i="31" s="1"/>
  <c r="H25" i="31" s="1"/>
  <c r="I25" i="31" s="1"/>
  <c r="F17" i="31"/>
  <c r="G17" i="31" s="1"/>
  <c r="H17" i="31" s="1"/>
  <c r="I17" i="31" s="1"/>
  <c r="F41" i="31"/>
  <c r="G41" i="31" s="1"/>
  <c r="H41" i="31" s="1"/>
  <c r="I41" i="31" s="1"/>
  <c r="F8" i="31"/>
  <c r="G8" i="31" s="1"/>
  <c r="H8" i="31" s="1"/>
  <c r="I8" i="31" s="1"/>
  <c r="F76" i="31"/>
  <c r="G76" i="31" s="1"/>
  <c r="H76" i="31" s="1"/>
  <c r="I76" i="31" s="1"/>
  <c r="F84" i="31"/>
  <c r="G84" i="31" s="1"/>
  <c r="H84" i="31" s="1"/>
  <c r="I84" i="31" s="1"/>
  <c r="F92" i="31"/>
  <c r="G92" i="31" s="1"/>
  <c r="H92" i="31" s="1"/>
  <c r="I92" i="31" s="1"/>
  <c r="F62" i="31"/>
  <c r="G62" i="31" s="1"/>
  <c r="H62" i="31" s="1"/>
  <c r="I62" i="31" s="1"/>
  <c r="F70" i="31"/>
  <c r="G70" i="31" s="1"/>
  <c r="H70" i="31" s="1"/>
  <c r="I70" i="31" s="1"/>
  <c r="F59" i="31"/>
  <c r="G59" i="31" s="1"/>
  <c r="H59" i="31" s="1"/>
  <c r="I59" i="31" s="1"/>
  <c r="F51" i="31"/>
  <c r="G51" i="31" s="1"/>
  <c r="H51" i="31" s="1"/>
  <c r="I51" i="31" s="1"/>
  <c r="F40" i="31"/>
  <c r="G40" i="31" s="1"/>
  <c r="H40" i="31" s="1"/>
  <c r="I40" i="31" s="1"/>
  <c r="F32" i="31"/>
  <c r="G32" i="31" s="1"/>
  <c r="H32" i="31" s="1"/>
  <c r="I32" i="31" s="1"/>
  <c r="F24" i="31"/>
  <c r="G24" i="31" s="1"/>
  <c r="H24" i="31" s="1"/>
  <c r="I24" i="31" s="1"/>
  <c r="F16" i="31"/>
  <c r="G16" i="31" s="1"/>
  <c r="H16" i="31" s="1"/>
  <c r="I16" i="31" s="1"/>
  <c r="F43" i="31"/>
  <c r="G43" i="31" s="1"/>
  <c r="H43" i="31" s="1"/>
  <c r="I43" i="31" s="1"/>
  <c r="F61" i="31"/>
  <c r="G61" i="31" s="1"/>
  <c r="H61" i="31" s="1"/>
  <c r="I61" i="31" s="1"/>
  <c r="F69" i="31"/>
  <c r="G69" i="31" s="1"/>
  <c r="H69" i="31" s="1"/>
  <c r="I69" i="31" s="1"/>
  <c r="F58" i="31"/>
  <c r="G58" i="31" s="1"/>
  <c r="H58" i="31" s="1"/>
  <c r="I58" i="31" s="1"/>
  <c r="F50" i="31"/>
  <c r="G50" i="31" s="1"/>
  <c r="H50" i="31" s="1"/>
  <c r="I50" i="31" s="1"/>
  <c r="F39" i="31"/>
  <c r="G39" i="31" s="1"/>
  <c r="H39" i="31" s="1"/>
  <c r="I39" i="31" s="1"/>
  <c r="F31" i="31"/>
  <c r="G31" i="31" s="1"/>
  <c r="H31" i="31" s="1"/>
  <c r="I31" i="31" s="1"/>
  <c r="F23" i="31"/>
  <c r="G23" i="31" s="1"/>
  <c r="H23" i="31" s="1"/>
  <c r="I23" i="31" s="1"/>
  <c r="F15" i="31"/>
  <c r="G15" i="31" s="1"/>
  <c r="H15" i="31" s="1"/>
  <c r="I15" i="31" s="1"/>
  <c r="F77" i="31"/>
  <c r="G77" i="31" s="1"/>
  <c r="H77" i="31" s="1"/>
  <c r="I77" i="31" s="1"/>
  <c r="F10" i="31"/>
  <c r="G10" i="31" s="1"/>
  <c r="H10" i="31" s="1"/>
  <c r="I10" i="31" s="1"/>
  <c r="F78" i="31"/>
  <c r="G78" i="31" s="1"/>
  <c r="H78" i="31" s="1"/>
  <c r="I78" i="31" s="1"/>
  <c r="F86" i="31"/>
  <c r="G86" i="31" s="1"/>
  <c r="H86" i="31" s="1"/>
  <c r="I86" i="31" s="1"/>
  <c r="F91" i="31"/>
  <c r="G91" i="31" s="1"/>
  <c r="H91" i="31" s="1"/>
  <c r="I91" i="31" s="1"/>
  <c r="F64" i="31"/>
  <c r="G64" i="31" s="1"/>
  <c r="H64" i="31" s="1"/>
  <c r="I64" i="31" s="1"/>
  <c r="F72" i="31"/>
  <c r="G72" i="31" s="1"/>
  <c r="H72" i="31" s="1"/>
  <c r="I72" i="31" s="1"/>
  <c r="F57" i="31"/>
  <c r="G57" i="31" s="1"/>
  <c r="H57" i="31" s="1"/>
  <c r="I57" i="31" s="1"/>
  <c r="F49" i="31"/>
  <c r="G49" i="31" s="1"/>
  <c r="H49" i="31" s="1"/>
  <c r="I49" i="31" s="1"/>
  <c r="F38" i="31"/>
  <c r="G38" i="31" s="1"/>
  <c r="H38" i="31" s="1"/>
  <c r="I38" i="31" s="1"/>
  <c r="F30" i="31"/>
  <c r="G30" i="31" s="1"/>
  <c r="H30" i="31" s="1"/>
  <c r="I30" i="31" s="1"/>
  <c r="F22" i="31"/>
  <c r="G22" i="31" s="1"/>
  <c r="H22" i="31" s="1"/>
  <c r="I22" i="31" s="1"/>
  <c r="F14" i="31"/>
  <c r="G14" i="31" s="1"/>
  <c r="H14" i="31" s="1"/>
  <c r="I14" i="31" s="1"/>
  <c r="F79" i="31"/>
  <c r="G79" i="31" s="1"/>
  <c r="H79" i="31" s="1"/>
  <c r="I79" i="31" s="1"/>
  <c r="F63" i="31"/>
  <c r="G63" i="31" s="1"/>
  <c r="H63" i="31" s="1"/>
  <c r="I63" i="31" s="1"/>
  <c r="F71" i="31"/>
  <c r="G71" i="31" s="1"/>
  <c r="H71" i="31" s="1"/>
  <c r="I71" i="31" s="1"/>
  <c r="F56" i="31"/>
  <c r="G56" i="31" s="1"/>
  <c r="H56" i="31" s="1"/>
  <c r="I56" i="31" s="1"/>
  <c r="F48" i="31"/>
  <c r="G48" i="31" s="1"/>
  <c r="H48" i="31" s="1"/>
  <c r="I48" i="31" s="1"/>
  <c r="F37" i="31"/>
  <c r="G37" i="31" s="1"/>
  <c r="H37" i="31" s="1"/>
  <c r="I37" i="31" s="1"/>
  <c r="F29" i="31"/>
  <c r="G29" i="31" s="1"/>
  <c r="H29" i="31" s="1"/>
  <c r="I29" i="31" s="1"/>
  <c r="F21" i="31"/>
  <c r="G21" i="31" s="1"/>
  <c r="H21" i="31" s="1"/>
  <c r="I21" i="31" s="1"/>
  <c r="F13" i="31"/>
  <c r="G13" i="31" s="1"/>
  <c r="H13" i="31" s="1"/>
  <c r="I13" i="31" s="1"/>
  <c r="F81" i="31"/>
  <c r="G81" i="31" s="1"/>
  <c r="H81" i="31" s="1"/>
  <c r="I81" i="31" s="1"/>
  <c r="F60" i="31"/>
  <c r="G60" i="31" s="1"/>
  <c r="H60" i="31" s="1"/>
  <c r="I60" i="31" s="1"/>
  <c r="F80" i="31"/>
  <c r="G80" i="31" s="1"/>
  <c r="H80" i="31" s="1"/>
  <c r="I80" i="31" s="1"/>
  <c r="F88" i="31"/>
  <c r="G88" i="31" s="1"/>
  <c r="H88" i="31" s="1"/>
  <c r="I88" i="31" s="1"/>
  <c r="F90" i="31"/>
  <c r="G90" i="31" s="1"/>
  <c r="H90" i="31" s="1"/>
  <c r="I90" i="31" s="1"/>
  <c r="F66" i="31"/>
  <c r="G66" i="31" s="1"/>
  <c r="H66" i="31" s="1"/>
  <c r="I66" i="31" s="1"/>
  <c r="F74" i="31"/>
  <c r="G74" i="31" s="1"/>
  <c r="H74" i="31" s="1"/>
  <c r="I74" i="31" s="1"/>
  <c r="F55" i="31"/>
  <c r="G55" i="31" s="1"/>
  <c r="H55" i="31" s="1"/>
  <c r="I55" i="31" s="1"/>
  <c r="F47" i="31"/>
  <c r="G47" i="31" s="1"/>
  <c r="H47" i="31" s="1"/>
  <c r="I47" i="31" s="1"/>
  <c r="F36" i="31"/>
  <c r="G36" i="31" s="1"/>
  <c r="H36" i="31" s="1"/>
  <c r="I36" i="31" s="1"/>
  <c r="F28" i="31"/>
  <c r="G28" i="31" s="1"/>
  <c r="H28" i="31" s="1"/>
  <c r="I28" i="31" s="1"/>
  <c r="F20" i="31"/>
  <c r="G20" i="31" s="1"/>
  <c r="H20" i="31" s="1"/>
  <c r="I20" i="31" s="1"/>
  <c r="F12" i="31"/>
  <c r="G12" i="31" s="1"/>
  <c r="H12" i="31" s="1"/>
  <c r="I12" i="31" s="1"/>
  <c r="H45" i="31"/>
  <c r="I45" i="31" s="1"/>
  <c r="H16" i="30"/>
  <c r="I16" i="30" s="1"/>
  <c r="H59" i="30"/>
  <c r="I59" i="30" s="1"/>
  <c r="H14" i="30"/>
  <c r="I14" i="30" s="1"/>
  <c r="H82" i="30"/>
  <c r="I82" i="30" s="1"/>
  <c r="H21" i="30"/>
  <c r="I21" i="30" s="1"/>
  <c r="H91" i="30"/>
  <c r="I91" i="30" s="1"/>
  <c r="H56" i="30"/>
  <c r="I56" i="30" s="1"/>
  <c r="H64" i="30"/>
  <c r="I64" i="30" s="1"/>
  <c r="H73" i="30"/>
  <c r="I73" i="30" s="1"/>
  <c r="H64" i="29"/>
  <c r="I64" i="29" s="1"/>
  <c r="H78" i="29"/>
  <c r="I78" i="29" s="1"/>
  <c r="H51" i="29"/>
  <c r="I51" i="29" s="1"/>
  <c r="H41" i="29"/>
  <c r="I41" i="29" s="1"/>
  <c r="H59" i="29"/>
  <c r="I59" i="29" s="1"/>
  <c r="D9" i="33"/>
  <c r="E9" i="33" s="1"/>
  <c r="G9" i="33" s="1"/>
  <c r="H8" i="19"/>
  <c r="I8" i="19" s="1"/>
  <c r="J99" i="17" l="1"/>
  <c r="W99" i="17" s="1"/>
  <c r="D8" i="33"/>
  <c r="E8" i="33" s="1"/>
  <c r="G8" i="33" s="1"/>
  <c r="J44" i="17"/>
  <c r="O91" i="17" s="1"/>
  <c r="AB91" i="17" s="1"/>
  <c r="W43" i="17"/>
  <c r="J32" i="17"/>
  <c r="W31" i="17"/>
  <c r="H44" i="31"/>
  <c r="I44" i="31" s="1"/>
  <c r="H36" i="33"/>
  <c r="M36" i="33" s="1"/>
  <c r="M24" i="33"/>
  <c r="I38" i="33"/>
  <c r="M38" i="33" s="1"/>
  <c r="M26" i="33"/>
  <c r="I37" i="33"/>
  <c r="M37" i="33" s="1"/>
  <c r="M25" i="33"/>
  <c r="D13" i="33"/>
  <c r="E13" i="33" s="1"/>
  <c r="G13" i="33" s="1"/>
  <c r="D12" i="33"/>
  <c r="E12" i="33" s="1"/>
  <c r="G12" i="33" s="1"/>
  <c r="D11" i="33"/>
  <c r="E11" i="33" s="1"/>
  <c r="G11" i="33" s="1"/>
  <c r="J55" i="17"/>
  <c r="O93" i="17" l="1"/>
  <c r="AB93" i="17" s="1"/>
  <c r="W32" i="17"/>
  <c r="J91" i="17"/>
  <c r="J48" i="17"/>
  <c r="N82" i="17" s="1"/>
  <c r="D9" i="37"/>
  <c r="W55" i="17"/>
  <c r="J35" i="17"/>
  <c r="W35" i="17" s="1"/>
  <c r="J36" i="17"/>
  <c r="J56" i="17"/>
  <c r="J47" i="17"/>
  <c r="W47" i="17" s="1"/>
  <c r="W44" i="17"/>
  <c r="D27" i="37" l="1"/>
  <c r="D24" i="37"/>
  <c r="D26" i="37"/>
  <c r="D23" i="37"/>
  <c r="D25" i="37"/>
  <c r="W56" i="17"/>
  <c r="J98" i="17"/>
  <c r="W98" i="17" s="1"/>
  <c r="W91" i="17"/>
  <c r="N75" i="17"/>
  <c r="J93" i="17"/>
  <c r="W36" i="17"/>
  <c r="E5" i="40" s="1"/>
  <c r="W48" i="17"/>
  <c r="Z82" i="17" s="1"/>
  <c r="J60" i="17"/>
  <c r="W59" i="17"/>
  <c r="J59" i="17"/>
  <c r="Z76" i="17" l="1"/>
  <c r="J100" i="17"/>
  <c r="W100" i="17" s="1"/>
  <c r="W93" i="17"/>
  <c r="W60" i="17"/>
  <c r="E27" i="37"/>
  <c r="W81" i="17" s="1"/>
  <c r="J81" i="17"/>
  <c r="E25" i="37"/>
  <c r="W79" i="17" s="1"/>
  <c r="J79" i="17"/>
  <c r="E26" i="37"/>
  <c r="W80" i="17" s="1"/>
  <c r="J80" i="17"/>
  <c r="E23" i="37"/>
  <c r="W77" i="17" s="1"/>
  <c r="J77" i="17"/>
  <c r="E24" i="37"/>
  <c r="W78" i="17" s="1"/>
  <c r="J78" i="17"/>
  <c r="D5" i="40" l="1"/>
  <c r="F5" i="40" s="1"/>
  <c r="E22" i="39"/>
  <c r="E21" i="39"/>
  <c r="E27" i="39"/>
  <c r="E23" i="39"/>
  <c r="F23" i="39" s="1"/>
  <c r="E30" i="39"/>
  <c r="E24" i="39"/>
  <c r="F24" i="39" s="1"/>
  <c r="E29" i="39"/>
  <c r="F29" i="39" s="1"/>
  <c r="E25" i="39"/>
  <c r="E28" i="39"/>
  <c r="E26" i="39"/>
  <c r="F26" i="39" s="1"/>
  <c r="F12" i="39"/>
  <c r="F17" i="39" s="1"/>
  <c r="E10" i="40"/>
  <c r="F28" i="39" l="1"/>
  <c r="G28" i="39" s="1"/>
  <c r="F30" i="39"/>
  <c r="G30" i="39" s="1"/>
  <c r="F27" i="39"/>
  <c r="G27" i="39" s="1"/>
  <c r="F25" i="39"/>
  <c r="G25" i="39" s="1"/>
  <c r="D10" i="40"/>
  <c r="G29" i="39"/>
  <c r="G24" i="39"/>
  <c r="G26" i="39"/>
  <c r="F10" i="40"/>
  <c r="G22" i="39"/>
  <c r="G23" i="39"/>
  <c r="E20" i="39" l="1"/>
  <c r="G21" i="39"/>
  <c r="E31" i="39" l="1"/>
  <c r="G20" i="39"/>
  <c r="G31" i="39" s="1"/>
  <c r="F31" i="39"/>
</calcChain>
</file>

<file path=xl/sharedStrings.xml><?xml version="1.0" encoding="utf-8"?>
<sst xmlns="http://schemas.openxmlformats.org/spreadsheetml/2006/main" count="1609" uniqueCount="280">
  <si>
    <t>User guide</t>
  </si>
  <si>
    <t>UK (Fen) Peatland Carbon Calculator</t>
  </si>
  <si>
    <t>Assessment Unit 1 Inputs</t>
  </si>
  <si>
    <t>100-year global warming potential settings</t>
  </si>
  <si>
    <t>INPUT</t>
  </si>
  <si>
    <t>GWP values to use for calculations</t>
  </si>
  <si>
    <t>AR5</t>
  </si>
  <si>
    <t>AU1 area</t>
  </si>
  <si>
    <t>Assessment Unit 2 Inputs</t>
  </si>
  <si>
    <t>Assessment Unit 3 Inputs</t>
  </si>
  <si>
    <t>Assessment Unit 4 Inputs</t>
  </si>
  <si>
    <t>Assessment Unit 5 Inputs</t>
  </si>
  <si>
    <t>Area under consideration (ha)</t>
  </si>
  <si>
    <t>Project duration</t>
  </si>
  <si>
    <t>AU2 area</t>
  </si>
  <si>
    <t>AU3 area</t>
  </si>
  <si>
    <t>AU4 area</t>
  </si>
  <si>
    <t>AU5 area</t>
  </si>
  <si>
    <t>Project start date</t>
  </si>
  <si>
    <t>Project duration (years)</t>
  </si>
  <si>
    <t>Assessment Unit 1 Results (per hectare)</t>
  </si>
  <si>
    <t>Assessment Unit 2 Results (per hectare)</t>
  </si>
  <si>
    <t>Assessment Unit 3 Results (per hectare)</t>
  </si>
  <si>
    <t>Assessment Unit 4 Results (per hectare)</t>
  </si>
  <si>
    <t>Assessment Unit 5 Results (per hectare)</t>
  </si>
  <si>
    <t>Original land use</t>
  </si>
  <si>
    <t>&gt;&gt;&gt;&gt;&gt;&gt;</t>
  </si>
  <si>
    <t>&gt;&gt;&gt;&gt;&gt;&gt;&gt;&gt;&gt;&gt;&gt;</t>
  </si>
  <si>
    <t>Original annual emissions (1 ha)</t>
  </si>
  <si>
    <t>&gt;&gt;&gt;&gt;&gt;&gt;&gt;&gt;&gt;&gt;&gt;&gt;</t>
  </si>
  <si>
    <t>INPUTS</t>
  </si>
  <si>
    <t>Land use</t>
  </si>
  <si>
    <t>OUTPUTS</t>
  </si>
  <si>
    <t>WTDe (cm)</t>
  </si>
  <si>
    <t>Minimum valid WTD (cm)</t>
  </si>
  <si>
    <t>CO2 emissions (t CO2/ha/yr)</t>
  </si>
  <si>
    <t>Carbon dioxide</t>
  </si>
  <si>
    <t>CO2 emissions (t CO2/yr)</t>
  </si>
  <si>
    <t>Maximum valid WTD (cm)</t>
  </si>
  <si>
    <t>CH4 emissions (kg CH4/ha/yr)</t>
  </si>
  <si>
    <t>CH4 emissions (kg CH4/yr)</t>
  </si>
  <si>
    <t>Average WTD (cm)</t>
  </si>
  <si>
    <t>CH4 emissions (t CO2-e/ha/yr)</t>
  </si>
  <si>
    <t>Methane</t>
  </si>
  <si>
    <t>CH4 emissions (t CO2-e/yr)</t>
  </si>
  <si>
    <t>Peat depth (cm)</t>
  </si>
  <si>
    <t>N2O emissions (kg N2O-N/ha/yr)</t>
  </si>
  <si>
    <t>N2O emissions (kg N2O-N/yr)</t>
  </si>
  <si>
    <t>N2O emissions (t CO2-e/ha/yr)</t>
  </si>
  <si>
    <t>Nitrous Oxide</t>
  </si>
  <si>
    <t>N2O emissions (t CO2-e/yr)</t>
  </si>
  <si>
    <t>CO2 + CH4 (t CO2-e/ha/yr)</t>
  </si>
  <si>
    <t>CO2 + CH4 (t CO2-e/yr)</t>
  </si>
  <si>
    <t>CO2 + CH4 + N2O (t CO2-e/ha/yr)</t>
  </si>
  <si>
    <t>&gt;&gt;&gt;&gt;&gt;&gt;&gt;&gt;&gt;&gt;&gt;&gt;&gt;&gt;</t>
  </si>
  <si>
    <t>Overall balance</t>
  </si>
  <si>
    <t>CO2 + CH4 + N2O (t CO2-e/yr)</t>
  </si>
  <si>
    <t>Final land use</t>
  </si>
  <si>
    <t>Final annual emissions (1 ha)</t>
  </si>
  <si>
    <t>AU1 Warnings</t>
  </si>
  <si>
    <t>Change in emissions (1 ha)</t>
  </si>
  <si>
    <t>AU2 Warnings</t>
  </si>
  <si>
    <t>AU3 Warnings</t>
  </si>
  <si>
    <t>AU4 Warnings</t>
  </si>
  <si>
    <t>AU5 Warnings</t>
  </si>
  <si>
    <t>Change in WTDe (cm)</t>
  </si>
  <si>
    <t>Overall change</t>
  </si>
  <si>
    <t>Transition period emissions (1 ha)</t>
  </si>
  <si>
    <t>N2O emissions</t>
  </si>
  <si>
    <t>t CO2-e/ha/yr</t>
  </si>
  <si>
    <t>Year 1</t>
  </si>
  <si>
    <t>Year 2</t>
  </si>
  <si>
    <t>Year 3</t>
  </si>
  <si>
    <t>Year 4</t>
  </si>
  <si>
    <t>Year 5</t>
  </si>
  <si>
    <t>&gt;&gt;&gt;&gt;&gt;&gt;&gt;&gt;&gt;</t>
  </si>
  <si>
    <t>CO2 + CH4 + N2O emissions</t>
  </si>
  <si>
    <t>Emissions over project duration (1 ha)</t>
  </si>
  <si>
    <t>&gt;&gt;&gt;&gt;&gt;</t>
  </si>
  <si>
    <r>
      <t xml:space="preserve">Projected emissions </t>
    </r>
    <r>
      <rPr>
        <b/>
        <i/>
        <sz val="11"/>
        <color theme="1"/>
        <rFont val="Calibri"/>
        <family val="2"/>
        <scheme val="minor"/>
      </rPr>
      <t>without</t>
    </r>
    <r>
      <rPr>
        <sz val="11"/>
        <color theme="1"/>
        <rFont val="Calibri"/>
        <family val="2"/>
        <scheme val="minor"/>
      </rPr>
      <t xml:space="preserve"> land use change</t>
    </r>
  </si>
  <si>
    <r>
      <t xml:space="preserve">Projected emissions </t>
    </r>
    <r>
      <rPr>
        <b/>
        <i/>
        <sz val="11"/>
        <color theme="1"/>
        <rFont val="Calibri"/>
        <family val="2"/>
        <scheme val="minor"/>
      </rPr>
      <t>with</t>
    </r>
    <r>
      <rPr>
        <sz val="11"/>
        <color theme="1"/>
        <rFont val="Calibri"/>
        <family val="2"/>
        <scheme val="minor"/>
      </rPr>
      <t xml:space="preserve"> land use change</t>
    </r>
  </si>
  <si>
    <t>CO2</t>
  </si>
  <si>
    <t>CH4</t>
  </si>
  <si>
    <t>N2O</t>
  </si>
  <si>
    <t>Total</t>
  </si>
  <si>
    <t>&lt;&lt;&lt;&lt;&lt;&lt;&lt;&lt;</t>
  </si>
  <si>
    <t>&lt;&lt;&lt;&lt;&lt;&lt;&lt;&lt;&lt;&lt;&lt;&lt;&lt;&lt;&lt;&lt;&lt;&lt;&lt;&lt;&lt;&lt;&lt;&lt;</t>
  </si>
  <si>
    <t>Emissions change with land use change</t>
  </si>
  <si>
    <t>&lt;&lt;&lt;&lt;&lt;&lt;&lt;&lt;&lt;&lt;&lt;&lt;&lt;&lt;&lt;&lt;&lt;&lt;&lt;</t>
  </si>
  <si>
    <t>Total change over project (per ha)</t>
  </si>
  <si>
    <t>&gt;&gt;&gt;&gt;&gt;&gt;&gt;&gt;&gt;&gt;&gt;&gt;&gt;&gt;&gt;&gt;&gt;&gt;&gt;&gt;&gt;&gt;&gt;&gt;&gt;&gt;&gt;&gt;&gt;&gt;&gt;&gt;&gt;&gt;&gt;&gt;&gt;&gt;&gt;&gt;&gt;&gt;&gt;&gt;&gt;&gt;&gt;&gt;&gt;&gt;&gt;&gt;&gt;&gt;&gt;&gt;&gt;&gt;&gt;&gt;&gt;&gt;&gt;&gt;&gt;&gt;&gt;&gt;&gt;&gt;&gt;&gt;&gt;&gt;&gt;&gt;</t>
  </si>
  <si>
    <t>Total change over project (whole site)</t>
  </si>
  <si>
    <t>Project Summary</t>
  </si>
  <si>
    <t>Project name</t>
  </si>
  <si>
    <t>Person completing calculation</t>
  </si>
  <si>
    <t>Date calculation completed</t>
  </si>
  <si>
    <t>Project start date (end of restoration &amp; start of accounting)</t>
  </si>
  <si>
    <t>Leakage (t CO2-e/yr)</t>
  </si>
  <si>
    <t>Assessment Unit</t>
  </si>
  <si>
    <t>Area (ha)</t>
  </si>
  <si>
    <t>Gross emissions reduction (t CO2-e)</t>
  </si>
  <si>
    <t>AU1</t>
  </si>
  <si>
    <t>AU2</t>
  </si>
  <si>
    <t>AU3</t>
  </si>
  <si>
    <t>AU4</t>
  </si>
  <si>
    <t>AU5</t>
  </si>
  <si>
    <t>Totals</t>
  </si>
  <si>
    <t>Verification years since start date</t>
  </si>
  <si>
    <t>Vintage start date</t>
  </si>
  <si>
    <t>Vintage end date</t>
  </si>
  <si>
    <t>Net emissions reduction per vintage (t CO2-e)</t>
  </si>
  <si>
    <t>Risk buffer contribution per vintage (t CO2-e)</t>
  </si>
  <si>
    <t>Claimable emissions reduction per vintage (t CO2-e)</t>
  </si>
  <si>
    <t>Contents</t>
  </si>
  <si>
    <t>Updated Mar-23</t>
  </si>
  <si>
    <t>VISIBLE</t>
  </si>
  <si>
    <t>Welcome</t>
  </si>
  <si>
    <t>User Guide</t>
  </si>
  <si>
    <t>Calculator</t>
  </si>
  <si>
    <t>Makes explicit the emissions model for original and final land uses, transition period, area scaling and project duration. Includes results tables and graphs to aid users in understanding the calculation fo emissions for their project. Handles up to 5 assessment units as of v2F [Mar-23].</t>
  </si>
  <si>
    <t>A printable/shareable summary of project results. Includes the vintage table required for scheme compliance. Also summarises specified project details to aid users in spotting potential input errors.</t>
  </si>
  <si>
    <t>HIDDEN</t>
  </si>
  <si>
    <t>Version Control</t>
  </si>
  <si>
    <t>Tracks changes and updates to the calculator along with contributors.</t>
  </si>
  <si>
    <t>EF Adjustment Table</t>
  </si>
  <si>
    <t>Calculates/contains RCH4 values for each category. (Also produces other values for Table 3.1)</t>
  </si>
  <si>
    <t>Category Reference Values</t>
  </si>
  <si>
    <t>Contains valid WTDs and N2O EFs for each category. Currently includes Fen categories only [v2F; Mar-23].</t>
  </si>
  <si>
    <t>GWP Reference Values</t>
  </si>
  <si>
    <t>Contains GWP values for AR4, AR5, AR6. (Calculator set to AR5 in v2F [Mar-23]).</t>
  </si>
  <si>
    <t>Transition Period Calculations</t>
  </si>
  <si>
    <t>Calculates annual N2O and GHGB for five year transition period. Calculator reads these values if a transition is appropriate (currently if N2O EF final &lt; N2O EF original [v2F; Mar-23]).</t>
  </si>
  <si>
    <t>Vintage 1 Calculations</t>
  </si>
  <si>
    <t>Calculates gross emissions reduction for each AU (and total) for vintage 1. This is required because there may or may not be a 5 year N2O EF transition during vintage 1.</t>
  </si>
  <si>
    <t>Model Summary</t>
  </si>
  <si>
    <t>This is a sense-check tool for the models used for CO2 and CH4 emissions. Included to show that model produces realistic values over allowed WTD ranges. Currently includes Fen categories only [v2F; Mar-23].</t>
  </si>
  <si>
    <t>Look-up Sheets for: Near-natural Bog, Near-Natural Fen, Re-wetted Bog, Re-wetted Fen, Modified Bog (Vegetated), Modified Bog (Eroding Area), Modified Fen, Woodland, Extracted (Domestic), Extracted (Industrial), Grassland (Extensive), Grassland (Intensive), Cropland.</t>
  </si>
  <si>
    <r>
      <t xml:space="preserve">These calculate CO2 and CH4 emissions across the permitted WTD ranges for each category using the Evans et al. (2021) relationships of CO2~WTDe and CH4~WTD. These were originally included to make the outcomes of these relationships explicit (see Table 3.2). </t>
    </r>
    <r>
      <rPr>
        <i/>
        <sz val="11"/>
        <color theme="1"/>
        <rFont val="Calibri"/>
        <family val="2"/>
        <scheme val="minor"/>
      </rPr>
      <t>These pages could be replaced to make the calculator more streamlined if necessary in future. This would involve placing the CO2~WTDe relationship in CO2 emission cells on the calculator page and the CH4~WTD relationship in CH4 emissions cells (with an additional reference to category specific RCH4 values).</t>
    </r>
  </si>
  <si>
    <t>Table 3.1</t>
  </si>
  <si>
    <t>Template for table in update report</t>
  </si>
  <si>
    <t>Table 3.2</t>
  </si>
  <si>
    <t>Version control</t>
  </si>
  <si>
    <t>Contributors:</t>
  </si>
  <si>
    <t>Christopher Evans, Benjamin Freeman, Hannah Clilverd</t>
  </si>
  <si>
    <t>Version</t>
  </si>
  <si>
    <t>Date</t>
  </si>
  <si>
    <t>By</t>
  </si>
  <si>
    <t>Task</t>
  </si>
  <si>
    <t>v1</t>
  </si>
  <si>
    <t>CE</t>
  </si>
  <si>
    <t>Devised and built the original spreadsheet to (i) calculate implied WTDs for the Tier 2 Efs, (ii) calculate RCH4 and (iii) produce read-off tables for CO2/CH4 by WTD for different land use categories.</t>
  </si>
  <si>
    <t>BF, CE, HC</t>
  </si>
  <si>
    <t>Calculator' front-end added. Sense-check tool implemented as 'Model Summary' sheet. Basic user guide added. Basic Tier 1/2 N2O functionality added.</t>
  </si>
  <si>
    <t>v2F</t>
  </si>
  <si>
    <t>BF, CE</t>
  </si>
  <si>
    <t>Categories removed from 'Category Reference Values' sheet to produce Fen only tool. Calculator and Model Summary updated to adapt to this. Where appropriate reflects change to AR5 use for inventory purposes. User guide updated/improved. EFs for CO2/CH4/N2O updated in line with database/report update. Added 5-year linear transition for N2O emissions when moving to wetter/lower-N land use categories. Aesthetics completely reworked to improved user-friendliness. Project duration calculation added. Basic warnings added to aid user experience. Welcome page added. Expanded to cover five assessment units (one previously). Auto-filled printable project summary page added (contains vintage table required for scheme compliance).</t>
  </si>
  <si>
    <t>Emission factor calculations for CO2 and CH4</t>
  </si>
  <si>
    <t>Equations used to derive CO2 and CH4 emissions</t>
  </si>
  <si>
    <t>EFCO2</t>
  </si>
  <si>
    <t>Implied WTDe</t>
  </si>
  <si>
    <t>EFCH4</t>
  </si>
  <si>
    <t>Predicted EFCH4</t>
  </si>
  <si>
    <r>
      <t>RCH</t>
    </r>
    <r>
      <rPr>
        <b/>
        <vertAlign val="subscript"/>
        <sz val="11"/>
        <color theme="1"/>
        <rFont val="Calibri"/>
        <family val="2"/>
        <scheme val="minor"/>
      </rPr>
      <t>4</t>
    </r>
  </si>
  <si>
    <t>Nature paper equations (using UK NEP-WTDe relationship)</t>
  </si>
  <si>
    <t>t C/ha/yr</t>
  </si>
  <si>
    <t>cm</t>
  </si>
  <si>
    <t>kg CH4/ha/yr</t>
  </si>
  <si>
    <t>t CH4-C/ha/yr</t>
  </si>
  <si>
    <t>Near-natural Bog</t>
  </si>
  <si>
    <t>UK CO2</t>
  </si>
  <si>
    <t>NEP = 0.1341 ×WTDe − 1.73</t>
  </si>
  <si>
    <t>Near-natural Fen</t>
  </si>
  <si>
    <t>UK CH4</t>
  </si>
  <si>
    <r>
      <t xml:space="preserve">CH4flux = 0.334 × 0.5 </t>
    </r>
    <r>
      <rPr>
        <vertAlign val="superscript"/>
        <sz val="11"/>
        <color theme="1"/>
        <rFont val="Calibri"/>
        <family val="2"/>
        <scheme val="minor"/>
      </rPr>
      <t>(WTDe+5)/6.31</t>
    </r>
  </si>
  <si>
    <t>Re-wetted Bog</t>
  </si>
  <si>
    <t>Re-wetted Fen</t>
  </si>
  <si>
    <t>Equations rearranged to calculate WTDe from fluxes</t>
  </si>
  <si>
    <t>Modified Bog (Vegetated)</t>
  </si>
  <si>
    <t>Modified Bog (Eroding area)</t>
  </si>
  <si>
    <t>****</t>
  </si>
  <si>
    <t>WTDe = (NEP + 1.73)/0.1341</t>
  </si>
  <si>
    <t>Modified Fen</t>
  </si>
  <si>
    <t>*</t>
  </si>
  <si>
    <t>WTDe = ((log(CH4/0.334)/log(0.5))*6.31)-5</t>
  </si>
  <si>
    <t>Woodland</t>
  </si>
  <si>
    <t>Extracted (Domestic)</t>
  </si>
  <si>
    <t>**/****</t>
  </si>
  <si>
    <t>Extracted (Industrial)</t>
  </si>
  <si>
    <t>**</t>
  </si>
  <si>
    <t>Equations in inventory/peatland code reporting units</t>
  </si>
  <si>
    <t>Grassland (Extensive)</t>
  </si>
  <si>
    <t>***</t>
  </si>
  <si>
    <t>Grassland (Intensive)</t>
  </si>
  <si>
    <t>t CO2/ha/yr</t>
  </si>
  <si>
    <t>NEP = 0.4917 ×WTDe − 6.34</t>
  </si>
  <si>
    <t>Cropland</t>
  </si>
  <si>
    <t xml:space="preserve">UK CH4 </t>
  </si>
  <si>
    <t>CH4flux = 41</t>
  </si>
  <si>
    <t>Notes</t>
  </si>
  <si>
    <t>*Currently Modified Fen uses Near-natural Fen EFs for CO2 and CH4</t>
  </si>
  <si>
    <t>**Currently Extracted categories use Rewetted bog RCH4 value</t>
  </si>
  <si>
    <t>***Currently grassland and cropland categories use Rewetted Fen RCH4 value</t>
  </si>
  <si>
    <t>****Modified Bog (Eroding Area) and Extracted (Domestic) use Extracted (Industrial) EFs as indicated in red.</t>
  </si>
  <si>
    <t>Category reference values</t>
  </si>
  <si>
    <t>WTD Ranges (cm)</t>
  </si>
  <si>
    <t>N2O (kg N2O-N/ha/yr)*</t>
  </si>
  <si>
    <t>Min</t>
  </si>
  <si>
    <t>Max</t>
  </si>
  <si>
    <t>Cells shaded grey use the Tier 1 EFs</t>
  </si>
  <si>
    <t>100-year global warming potential values</t>
  </si>
  <si>
    <t>Source</t>
  </si>
  <si>
    <t>AR4</t>
  </si>
  <si>
    <t>AR6</t>
  </si>
  <si>
    <t>The CH4 EF shown for AR6 is the EF for biogenic methane emissions.</t>
  </si>
  <si>
    <t>Original N2O (t CO2-e/ha/yr)</t>
  </si>
  <si>
    <t>Final N2O (t CO2-e/ha/yr)</t>
  </si>
  <si>
    <t>Final CO2 (t CO2/ha/yr)</t>
  </si>
  <si>
    <t>Final CH4 (t CO2-e/ha/yr)</t>
  </si>
  <si>
    <t>Per Hectare</t>
  </si>
  <si>
    <t>Site Area</t>
  </si>
  <si>
    <t>GHG Balance (t CO2-e/ha/yr)</t>
  </si>
  <si>
    <t>Vintage 1 Backend</t>
  </si>
  <si>
    <t>AU</t>
  </si>
  <si>
    <t>Emissions with LUC</t>
  </si>
  <si>
    <t>Emissions without LUC</t>
  </si>
  <si>
    <t>Emissions reduction</t>
  </si>
  <si>
    <t>TOTALS</t>
  </si>
  <si>
    <t>Provides gross emissions reductions for vintage 1 dependent on presence/absence of transition period.</t>
  </si>
  <si>
    <t>Summary of model results</t>
  </si>
  <si>
    <t>Minimum predicted values of C-derived GHG balance (t CO2-e/ha/yr)</t>
  </si>
  <si>
    <t>Min emissions</t>
  </si>
  <si>
    <t>Associated WTDe</t>
  </si>
  <si>
    <t>Minimum allowed WTDe</t>
  </si>
  <si>
    <t>WTDe limited by</t>
  </si>
  <si>
    <t>Green = net sink, red = net source, blue = neutral</t>
  </si>
  <si>
    <t>For WTDe blue = surface level or inundated</t>
  </si>
  <si>
    <t>Note for ag categories WTDe can be below min permitted WTD because of wasted peat values in lookup tables</t>
  </si>
  <si>
    <t>Predicted methane emissions (t CO2-e/ha/yr)</t>
  </si>
  <si>
    <t>WTD (cm)</t>
  </si>
  <si>
    <t>Max emissions</t>
  </si>
  <si>
    <t>Predicted C-derived GHG balance (t CO2-e/ha/yr)</t>
  </si>
  <si>
    <t>Evans et al. (2021) Line</t>
  </si>
  <si>
    <t>WTD</t>
  </si>
  <si>
    <t>Near-natural bog</t>
  </si>
  <si>
    <t>WTDe</t>
  </si>
  <si>
    <t>EF_CO2</t>
  </si>
  <si>
    <t>EF_CH4</t>
  </si>
  <si>
    <t>GHGB</t>
  </si>
  <si>
    <t>Default</t>
  </si>
  <si>
    <t>Range</t>
  </si>
  <si>
    <t>Note: A bog with WTD &gt; 13 cm will not be peat-forming and cannot therefore be considered near-natural  - move to modified category</t>
  </si>
  <si>
    <t>Near-natural fen</t>
  </si>
  <si>
    <t>Note: A fen with WTD &gt; 13 cm will not be peat-forming and cannot therefore be considered near-natural  - move to modified category</t>
  </si>
  <si>
    <t>Re-wetted bog</t>
  </si>
  <si>
    <t>Note: A bog with WTD &gt; 20 cm cannot be considered re-wetted - move to modified category</t>
  </si>
  <si>
    <t>Re-wetted fen</t>
  </si>
  <si>
    <t>Note: A fen with WTD &gt; 20 cm cannot be considered re-wetted - move to modified category</t>
  </si>
  <si>
    <t>Modified bog - heather/grass dominated</t>
  </si>
  <si>
    <t>Note: A bog with WTD &lt; 5 cm should be considered near-natural or re-wetted - move to appropriate category</t>
  </si>
  <si>
    <t>Modified bog - eroded</t>
  </si>
  <si>
    <t>Note: All eroded bogs are considered not to be peat-forming, therefore if measured WTD is less than 14.4 cm apply the default EF value</t>
  </si>
  <si>
    <t>Note: A fen with WTD &lt; 5 cm should be considered near-natural or re-wetted - move to appropriate category</t>
  </si>
  <si>
    <t>Note: If WTD &gt; 100 cm, apply the 100 cm value</t>
  </si>
  <si>
    <t>Extracted - Domestic</t>
  </si>
  <si>
    <t>Extracted - Industrial</t>
  </si>
  <si>
    <t>Grassland - Extensive</t>
  </si>
  <si>
    <t>Grassland - Intensive</t>
  </si>
  <si>
    <t>Notes: If WTD &gt; 100 cm, apply the 100 cm value</t>
  </si>
  <si>
    <t>Intensive grassland is considered unlikely to have a true water table of &lt; 30 cm, however values are included down to 14 cm to reflect the possibility of this land-use class occuring on wasted peat (i.e. WTDe &lt; WTD)</t>
  </si>
  <si>
    <t>Cropland is considered unlikely to have a true water table of &lt; 30 cm, however values are included down to 14 cm to reflect the possibility of this land-use class occuring on wasted peat (i.e. WTDe &lt; WTD)</t>
  </si>
  <si>
    <t>Peat condition category</t>
  </si>
  <si>
    <r>
      <t>EF CO</t>
    </r>
    <r>
      <rPr>
        <b/>
        <vertAlign val="subscript"/>
        <sz val="11"/>
        <color theme="1"/>
        <rFont val="Calibri"/>
        <family val="2"/>
        <scheme val="minor"/>
      </rPr>
      <t>2 (Tier 2)</t>
    </r>
  </si>
  <si>
    <r>
      <t>WTD</t>
    </r>
    <r>
      <rPr>
        <b/>
        <i/>
        <sz val="11"/>
        <color theme="1"/>
        <rFont val="Calibri"/>
        <family val="2"/>
        <scheme val="minor"/>
      </rPr>
      <t>e</t>
    </r>
  </si>
  <si>
    <r>
      <t>EF CH</t>
    </r>
    <r>
      <rPr>
        <b/>
        <vertAlign val="subscript"/>
        <sz val="11"/>
        <color theme="1"/>
        <rFont val="Calibri"/>
        <family val="2"/>
        <scheme val="minor"/>
      </rPr>
      <t>4 (Tier 2)</t>
    </r>
  </si>
  <si>
    <r>
      <t>EF CH</t>
    </r>
    <r>
      <rPr>
        <b/>
        <vertAlign val="subscript"/>
        <sz val="11"/>
        <color theme="1"/>
        <rFont val="Calibri"/>
        <family val="2"/>
        <scheme val="minor"/>
      </rPr>
      <t>4 (predicted)</t>
    </r>
  </si>
  <si>
    <r>
      <rPr>
        <b/>
        <i/>
        <sz val="11"/>
        <color theme="1"/>
        <rFont val="Calibri"/>
        <family val="2"/>
        <scheme val="minor"/>
      </rPr>
      <t>R</t>
    </r>
    <r>
      <rPr>
        <b/>
        <sz val="11"/>
        <color theme="1"/>
        <rFont val="Calibri"/>
        <family val="2"/>
        <scheme val="minor"/>
      </rPr>
      <t>CH</t>
    </r>
    <r>
      <rPr>
        <b/>
        <vertAlign val="subscript"/>
        <sz val="11"/>
        <color theme="1"/>
        <rFont val="Calibri"/>
        <family val="2"/>
        <scheme val="minor"/>
      </rPr>
      <t>4</t>
    </r>
  </si>
  <si>
    <r>
      <t>t CO</t>
    </r>
    <r>
      <rPr>
        <vertAlign val="subscript"/>
        <sz val="11"/>
        <color theme="1"/>
        <rFont val="Calibri"/>
        <family val="2"/>
        <scheme val="minor"/>
      </rPr>
      <t>2</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yr</t>
    </r>
    <r>
      <rPr>
        <vertAlign val="superscript"/>
        <sz val="11"/>
        <color theme="1"/>
        <rFont val="Calibri"/>
        <family val="2"/>
        <scheme val="minor"/>
      </rPr>
      <t>-1</t>
    </r>
  </si>
  <si>
    <r>
      <t>kg CH</t>
    </r>
    <r>
      <rPr>
        <vertAlign val="subscript"/>
        <sz val="11"/>
        <color theme="1"/>
        <rFont val="Calibri"/>
        <family val="2"/>
        <scheme val="minor"/>
      </rPr>
      <t>4</t>
    </r>
    <r>
      <rPr>
        <sz val="11"/>
        <color theme="1"/>
        <rFont val="Calibri"/>
        <family val="2"/>
        <scheme val="minor"/>
      </rPr>
      <t xml:space="preserve"> ha</t>
    </r>
    <r>
      <rPr>
        <vertAlign val="superscript"/>
        <sz val="11"/>
        <color theme="1"/>
        <rFont val="Calibri"/>
        <family val="2"/>
        <scheme val="minor"/>
      </rPr>
      <t>-1</t>
    </r>
    <r>
      <rPr>
        <sz val="11"/>
        <color theme="1"/>
        <rFont val="Calibri"/>
        <family val="2"/>
        <scheme val="minor"/>
      </rPr>
      <t xml:space="preserve"> yr</t>
    </r>
    <r>
      <rPr>
        <vertAlign val="superscript"/>
        <sz val="11"/>
        <color theme="1"/>
        <rFont val="Calibri"/>
        <family val="2"/>
        <scheme val="minor"/>
      </rPr>
      <t>-1</t>
    </r>
  </si>
  <si>
    <r>
      <t>EF CO</t>
    </r>
    <r>
      <rPr>
        <b/>
        <vertAlign val="subscript"/>
        <sz val="11"/>
        <color theme="1"/>
        <rFont val="Calibri"/>
        <family val="2"/>
        <scheme val="minor"/>
      </rPr>
      <t>2</t>
    </r>
  </si>
  <si>
    <r>
      <t>EF CH</t>
    </r>
    <r>
      <rPr>
        <b/>
        <vertAlign val="subscript"/>
        <sz val="11"/>
        <color theme="1"/>
        <rFont val="Calibri"/>
        <family val="2"/>
        <scheme val="minor"/>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</si>
</sst>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29" x14ac:knownFonts="1">
    <font>
      <sz val="11"/>
      <color theme="1"/>
      <name val="Calibri"/>
      <family val="2"/>
      <scheme val="minor"/>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theme="4" tint="-0.249977111117893"/>
      <name val="Calibri"/>
      <family val="2"/>
      <scheme val="minor"/>
    </font>
    <font>
      <b/>
      <sz val="12"/>
      <color theme="1"/>
      <name val="Calibri"/>
      <family val="2"/>
      <scheme val="minor"/>
    </font>
    <font>
      <sz val="11"/>
      <name val="Calibri"/>
      <family val="2"/>
      <scheme val="minor"/>
    </font>
    <font>
      <b/>
      <vertAlign val="subscript"/>
      <sz val="11"/>
      <color theme="1"/>
      <name val="Calibri"/>
      <family val="2"/>
      <scheme val="minor"/>
    </font>
    <font>
      <vertAlign val="subscript"/>
      <sz val="11"/>
      <color theme="1"/>
      <name val="Calibri"/>
      <family val="2"/>
      <scheme val="minor"/>
    </font>
    <font>
      <b/>
      <i/>
      <sz val="11"/>
      <color theme="1"/>
      <name val="Calibri"/>
      <family val="2"/>
      <scheme val="minor"/>
    </font>
    <font>
      <b/>
      <i/>
      <sz val="9"/>
      <color theme="1"/>
      <name val="Calibri"/>
      <family val="2"/>
      <scheme val="minor"/>
    </font>
    <font>
      <b/>
      <sz val="16"/>
      <color theme="1"/>
      <name val="Calibri"/>
      <family val="2"/>
      <scheme val="minor"/>
    </font>
    <font>
      <b/>
      <sz val="20"/>
      <color theme="1"/>
      <name val="Calibri"/>
      <family val="2"/>
      <scheme val="minor"/>
    </font>
    <font>
      <i/>
      <sz val="11"/>
      <name val="Calibri"/>
      <family val="2"/>
      <scheme val="minor"/>
    </font>
    <font>
      <b/>
      <i/>
      <sz val="12"/>
      <color theme="1"/>
      <name val="Calibri"/>
      <family val="2"/>
      <scheme val="minor"/>
    </font>
    <font>
      <b/>
      <i/>
      <u/>
      <sz val="11"/>
      <color theme="1"/>
      <name val="Calibri"/>
      <family val="2"/>
      <scheme val="minor"/>
    </font>
    <font>
      <b/>
      <i/>
      <sz val="11"/>
      <color rgb="FFFF0000"/>
      <name val="Calibri"/>
      <family val="2"/>
      <scheme val="minor"/>
    </font>
    <font>
      <i/>
      <sz val="11"/>
      <color theme="1"/>
      <name val="Calibri"/>
      <family val="2"/>
      <scheme val="minor"/>
    </font>
    <font>
      <b/>
      <sz val="14"/>
      <color theme="1"/>
      <name val="Calibri"/>
      <family val="2"/>
      <scheme val="minor"/>
    </font>
    <font>
      <u/>
      <sz val="11"/>
      <color rgb="FF000000"/>
      <name val="Calibri"/>
      <family val="2"/>
      <scheme val="minor"/>
    </font>
    <font>
      <b/>
      <i/>
      <sz val="11"/>
      <color rgb="FF00B050"/>
      <name val="Calibri"/>
      <family val="2"/>
      <scheme val="minor"/>
    </font>
    <font>
      <b/>
      <sz val="24"/>
      <color theme="1"/>
      <name val="Calibri"/>
      <family val="2"/>
      <scheme val="minor"/>
    </font>
    <font>
      <b/>
      <sz val="20"/>
      <color theme="0"/>
      <name val="Calibri"/>
      <family val="2"/>
      <scheme val="minor"/>
    </font>
    <font>
      <b/>
      <sz val="16"/>
      <color theme="2"/>
      <name val="Calibri"/>
      <family val="2"/>
      <scheme val="minor"/>
    </font>
    <font>
      <b/>
      <sz val="20"/>
      <color theme="2"/>
      <name val="Calibri"/>
      <family val="2"/>
      <scheme val="minor"/>
    </font>
    <font>
      <b/>
      <i/>
      <sz val="11"/>
      <color rgb="FFC00000"/>
      <name val="Calibri"/>
      <family val="2"/>
      <scheme val="minor"/>
    </font>
    <font>
      <sz val="10"/>
      <color theme="1"/>
      <name val="Calibri"/>
      <family val="2"/>
      <scheme val="minor"/>
    </font>
    <font>
      <b/>
      <sz val="10"/>
      <color theme="1"/>
      <name val="Calibri"/>
      <family val="2"/>
      <scheme val="minor"/>
    </font>
    <font>
      <b/>
      <sz val="10"/>
      <color theme="2"/>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theme="6" tint="-0.499984740745262"/>
        <bgColor indexed="64"/>
      </patternFill>
    </fill>
    <fill>
      <patternFill patternType="solid">
        <fgColor theme="7" tint="0.59999389629810485"/>
        <bgColor indexed="64"/>
      </patternFill>
    </fill>
  </fills>
  <borders count="5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thick">
        <color auto="1"/>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1">
    <xf numFmtId="0" fontId="0" fillId="0" borderId="0"/>
  </cellStyleXfs>
  <cellXfs count="458">
    <xf numFmtId="0" fontId="0" fillId="0" borderId="0" xfId="0"/>
    <xf numFmtId="0" fontId="2" fillId="0" borderId="0" xfId="0" applyFont="1"/>
    <xf numFmtId="2" fontId="0" fillId="0" borderId="0" xfId="0" applyNumberFormat="1"/>
    <xf numFmtId="164" fontId="0" fillId="0" borderId="0" xfId="0" applyNumberFormat="1"/>
    <xf numFmtId="0" fontId="0" fillId="0" borderId="1" xfId="0" applyBorder="1"/>
    <xf numFmtId="0" fontId="0" fillId="0" borderId="3" xfId="0" applyBorder="1"/>
    <xf numFmtId="0" fontId="2" fillId="0" borderId="3" xfId="0" applyFont="1" applyBorder="1"/>
    <xf numFmtId="0" fontId="2" fillId="0" borderId="4" xfId="0" applyFont="1" applyBorder="1"/>
    <xf numFmtId="1" fontId="0" fillId="0" borderId="0" xfId="0" applyNumberFormat="1"/>
    <xf numFmtId="0" fontId="2" fillId="0" borderId="2" xfId="0" applyFont="1" applyBorder="1"/>
    <xf numFmtId="164" fontId="2" fillId="0" borderId="2" xfId="0" applyNumberFormat="1" applyFont="1" applyBorder="1"/>
    <xf numFmtId="2" fontId="2" fillId="0" borderId="2" xfId="0" applyNumberFormat="1" applyFont="1" applyBorder="1"/>
    <xf numFmtId="1" fontId="2" fillId="0" borderId="2" xfId="0" applyNumberFormat="1" applyFont="1" applyBorder="1"/>
    <xf numFmtId="0" fontId="5" fillId="0" borderId="0" xfId="0" applyFont="1"/>
    <xf numFmtId="164" fontId="0" fillId="0" borderId="1" xfId="0" applyNumberFormat="1" applyBorder="1"/>
    <xf numFmtId="2" fontId="0" fillId="0" borderId="1" xfId="0" applyNumberFormat="1" applyBorder="1"/>
    <xf numFmtId="1" fontId="0" fillId="0" borderId="1" xfId="0" applyNumberFormat="1" applyBorder="1"/>
    <xf numFmtId="1" fontId="1" fillId="0" borderId="0" xfId="0" applyNumberFormat="1" applyFont="1"/>
    <xf numFmtId="1" fontId="6" fillId="0" borderId="0" xfId="0" applyNumberFormat="1" applyFont="1"/>
    <xf numFmtId="0" fontId="2" fillId="2" borderId="3" xfId="0" applyFont="1" applyFill="1" applyBorder="1"/>
    <xf numFmtId="0" fontId="2" fillId="2" borderId="3" xfId="0" applyFont="1" applyFill="1" applyBorder="1" applyAlignment="1">
      <alignment horizontal="right" vertical="center"/>
    </xf>
    <xf numFmtId="0" fontId="2" fillId="2" borderId="1" xfId="0" applyFont="1" applyFill="1" applyBorder="1"/>
    <xf numFmtId="0" fontId="0" fillId="2" borderId="1" xfId="0" applyFill="1" applyBorder="1" applyAlignment="1">
      <alignment horizontal="right" vertical="center"/>
    </xf>
    <xf numFmtId="0" fontId="0" fillId="2" borderId="0" xfId="0" applyFill="1"/>
    <xf numFmtId="2" fontId="0" fillId="2" borderId="0" xfId="0" applyNumberFormat="1" applyFill="1" applyAlignment="1">
      <alignment horizontal="right" vertical="center"/>
    </xf>
    <xf numFmtId="164" fontId="0" fillId="2" borderId="0" xfId="0" applyNumberFormat="1" applyFill="1" applyAlignment="1">
      <alignment horizontal="right" vertical="center"/>
    </xf>
    <xf numFmtId="0" fontId="0" fillId="2" borderId="0" xfId="0" applyFill="1" applyAlignment="1">
      <alignment horizontal="right" vertical="center"/>
    </xf>
    <xf numFmtId="1" fontId="0" fillId="2" borderId="0" xfId="0" applyNumberFormat="1" applyFill="1" applyAlignment="1">
      <alignment horizontal="right" vertical="center"/>
    </xf>
    <xf numFmtId="0" fontId="0" fillId="2" borderId="1" xfId="0" applyFill="1" applyBorder="1"/>
    <xf numFmtId="2" fontId="0" fillId="2" borderId="1" xfId="0" applyNumberFormat="1" applyFill="1" applyBorder="1" applyAlignment="1">
      <alignment horizontal="right" vertical="center"/>
    </xf>
    <xf numFmtId="164" fontId="0" fillId="2" borderId="1" xfId="0" applyNumberFormat="1" applyFill="1" applyBorder="1" applyAlignment="1">
      <alignment horizontal="right" vertical="center"/>
    </xf>
    <xf numFmtId="1" fontId="0" fillId="2" borderId="1" xfId="0" applyNumberFormat="1" applyFill="1" applyBorder="1" applyAlignment="1">
      <alignment horizontal="right" vertical="center"/>
    </xf>
    <xf numFmtId="0" fontId="0" fillId="2" borderId="1" xfId="0" applyFill="1" applyBorder="1" applyAlignment="1">
      <alignment horizontal="right"/>
    </xf>
    <xf numFmtId="164" fontId="0" fillId="2" borderId="0" xfId="0" applyNumberFormat="1" applyFill="1"/>
    <xf numFmtId="1" fontId="0" fillId="2" borderId="0" xfId="0" applyNumberFormat="1" applyFill="1"/>
    <xf numFmtId="164" fontId="2" fillId="2" borderId="2" xfId="0" applyNumberFormat="1" applyFont="1" applyFill="1" applyBorder="1"/>
    <xf numFmtId="1" fontId="2" fillId="2" borderId="2" xfId="0" applyNumberFormat="1" applyFont="1" applyFill="1" applyBorder="1"/>
    <xf numFmtId="164" fontId="0" fillId="2" borderId="1" xfId="0" applyNumberFormat="1" applyFill="1" applyBorder="1"/>
    <xf numFmtId="1" fontId="0" fillId="2" borderId="1" xfId="0" applyNumberFormat="1" applyFill="1" applyBorder="1"/>
    <xf numFmtId="0" fontId="2" fillId="2" borderId="3" xfId="0" applyFont="1" applyFill="1" applyBorder="1" applyAlignment="1">
      <alignment horizontal="right"/>
    </xf>
    <xf numFmtId="0" fontId="9" fillId="0" borderId="0" xfId="0" applyFont="1"/>
    <xf numFmtId="0" fontId="0" fillId="0" borderId="9" xfId="0" applyBorder="1"/>
    <xf numFmtId="0" fontId="0" fillId="0" borderId="10" xfId="0" applyBorder="1"/>
    <xf numFmtId="0" fontId="0" fillId="0" borderId="11" xfId="0" applyBorder="1"/>
    <xf numFmtId="0" fontId="0" fillId="0" borderId="5" xfId="0" applyBorder="1"/>
    <xf numFmtId="0" fontId="0" fillId="0" borderId="15" xfId="0" applyBorder="1"/>
    <xf numFmtId="0" fontId="0" fillId="0" borderId="4" xfId="0" applyBorder="1"/>
    <xf numFmtId="0" fontId="0" fillId="0" borderId="12" xfId="0" applyBorder="1"/>
    <xf numFmtId="0" fontId="0" fillId="0" borderId="7" xfId="0" applyBorder="1"/>
    <xf numFmtId="0" fontId="0" fillId="0" borderId="6" xfId="0" applyBorder="1"/>
    <xf numFmtId="0" fontId="0" fillId="0" borderId="16" xfId="0" applyBorder="1"/>
    <xf numFmtId="0" fontId="0" fillId="0" borderId="17" xfId="0" applyBorder="1"/>
    <xf numFmtId="0" fontId="0" fillId="0" borderId="18" xfId="0" applyBorder="1"/>
    <xf numFmtId="0" fontId="2" fillId="0" borderId="12" xfId="0" applyFont="1" applyBorder="1"/>
    <xf numFmtId="0" fontId="2" fillId="0" borderId="13" xfId="0" applyFont="1" applyBorder="1"/>
    <xf numFmtId="0" fontId="2" fillId="0" borderId="7" xfId="0" applyFont="1" applyBorder="1"/>
    <xf numFmtId="0" fontId="2" fillId="0" borderId="15" xfId="0" applyFont="1" applyBorder="1"/>
    <xf numFmtId="0" fontId="0" fillId="0" borderId="19" xfId="0" applyBorder="1"/>
    <xf numFmtId="0" fontId="11" fillId="0" borderId="0" xfId="0" applyFont="1" applyAlignment="1">
      <alignment horizontal="center"/>
    </xf>
    <xf numFmtId="164" fontId="4" fillId="0" borderId="5" xfId="0" applyNumberFormat="1" applyFont="1" applyBorder="1"/>
    <xf numFmtId="164" fontId="4" fillId="0" borderId="6" xfId="0" applyNumberFormat="1" applyFont="1" applyBorder="1"/>
    <xf numFmtId="0" fontId="6" fillId="0" borderId="8" xfId="0" applyFont="1" applyBorder="1"/>
    <xf numFmtId="0" fontId="6" fillId="0" borderId="9" xfId="0" applyFont="1" applyBorder="1"/>
    <xf numFmtId="0" fontId="6" fillId="0" borderId="10" xfId="0" applyFont="1" applyBorder="1"/>
    <xf numFmtId="1" fontId="13" fillId="0" borderId="5" xfId="0" applyNumberFormat="1" applyFont="1" applyBorder="1"/>
    <xf numFmtId="1" fontId="13" fillId="0" borderId="6" xfId="0" applyNumberFormat="1" applyFont="1" applyBorder="1"/>
    <xf numFmtId="2" fontId="0" fillId="0" borderId="3" xfId="0" applyNumberFormat="1" applyBorder="1"/>
    <xf numFmtId="164" fontId="0" fillId="0" borderId="3" xfId="0" applyNumberFormat="1" applyBorder="1"/>
    <xf numFmtId="0" fontId="2" fillId="0" borderId="16" xfId="0" applyFont="1" applyBorder="1"/>
    <xf numFmtId="164" fontId="0" fillId="0" borderId="15" xfId="0" applyNumberFormat="1" applyBorder="1"/>
    <xf numFmtId="164" fontId="0" fillId="0" borderId="14" xfId="0" applyNumberFormat="1" applyBorder="1"/>
    <xf numFmtId="2" fontId="0" fillId="0" borderId="4" xfId="0" applyNumberFormat="1" applyBorder="1"/>
    <xf numFmtId="2" fontId="0" fillId="0" borderId="5" xfId="0" applyNumberFormat="1" applyBorder="1"/>
    <xf numFmtId="2" fontId="0" fillId="0" borderId="6" xfId="0" applyNumberFormat="1" applyBorder="1"/>
    <xf numFmtId="2" fontId="0" fillId="0" borderId="2" xfId="0" applyNumberFormat="1" applyBorder="1"/>
    <xf numFmtId="164" fontId="0" fillId="0" borderId="2" xfId="0" applyNumberFormat="1" applyBorder="1"/>
    <xf numFmtId="0" fontId="14" fillId="0" borderId="0" xfId="0" applyFont="1"/>
    <xf numFmtId="0" fontId="15" fillId="0" borderId="0" xfId="0" applyFont="1"/>
    <xf numFmtId="2" fontId="0" fillId="0" borderId="18" xfId="0" applyNumberFormat="1" applyBorder="1"/>
    <xf numFmtId="2" fontId="0" fillId="0" borderId="15" xfId="0" applyNumberFormat="1" applyBorder="1"/>
    <xf numFmtId="2" fontId="0" fillId="0" borderId="17" xfId="0" applyNumberFormat="1" applyBorder="1"/>
    <xf numFmtId="0" fontId="0" fillId="0" borderId="13" xfId="0" applyBorder="1"/>
    <xf numFmtId="2" fontId="0" fillId="0" borderId="16" xfId="0" applyNumberFormat="1" applyBorder="1"/>
    <xf numFmtId="2" fontId="0" fillId="0" borderId="10" xfId="0" applyNumberFormat="1" applyBorder="1"/>
    <xf numFmtId="0" fontId="0" fillId="0" borderId="20" xfId="0" applyBorder="1"/>
    <xf numFmtId="2" fontId="0" fillId="0" borderId="20" xfId="0" applyNumberFormat="1" applyBorder="1"/>
    <xf numFmtId="2" fontId="0" fillId="0" borderId="21" xfId="0" applyNumberFormat="1" applyBorder="1"/>
    <xf numFmtId="0" fontId="0" fillId="0" borderId="23" xfId="0" applyBorder="1"/>
    <xf numFmtId="2" fontId="0" fillId="0" borderId="23" xfId="0" applyNumberFormat="1" applyBorder="1"/>
    <xf numFmtId="2" fontId="0" fillId="0" borderId="24" xfId="0" applyNumberFormat="1" applyBorder="1"/>
    <xf numFmtId="2" fontId="0" fillId="0" borderId="25" xfId="0" applyNumberFormat="1" applyBorder="1"/>
    <xf numFmtId="2" fontId="0" fillId="0" borderId="26" xfId="0" applyNumberFormat="1" applyBorder="1"/>
    <xf numFmtId="0" fontId="5" fillId="0" borderId="11" xfId="0" applyFont="1" applyBorder="1"/>
    <xf numFmtId="0" fontId="0" fillId="2" borderId="3" xfId="0" applyFill="1" applyBorder="1"/>
    <xf numFmtId="0" fontId="2" fillId="2" borderId="2" xfId="0" applyFont="1" applyFill="1" applyBorder="1"/>
    <xf numFmtId="2" fontId="2" fillId="2" borderId="2" xfId="0" applyNumberFormat="1" applyFont="1" applyFill="1" applyBorder="1"/>
    <xf numFmtId="0" fontId="2" fillId="2" borderId="0" xfId="0" applyFont="1" applyFill="1"/>
    <xf numFmtId="2" fontId="0" fillId="2" borderId="0" xfId="0" applyNumberFormat="1" applyFill="1"/>
    <xf numFmtId="2" fontId="0" fillId="2" borderId="1" xfId="0" applyNumberFormat="1" applyFill="1" applyBorder="1"/>
    <xf numFmtId="2" fontId="9" fillId="0" borderId="5" xfId="0" applyNumberFormat="1" applyFont="1" applyBorder="1"/>
    <xf numFmtId="2" fontId="9" fillId="0" borderId="6" xfId="0" applyNumberFormat="1" applyFont="1" applyBorder="1"/>
    <xf numFmtId="2" fontId="9" fillId="0" borderId="18" xfId="0" applyNumberFormat="1" applyFont="1" applyBorder="1"/>
    <xf numFmtId="2" fontId="9" fillId="0" borderId="17" xfId="0" applyNumberFormat="1" applyFont="1" applyBorder="1"/>
    <xf numFmtId="2" fontId="16" fillId="0" borderId="18" xfId="0" applyNumberFormat="1" applyFont="1" applyBorder="1"/>
    <xf numFmtId="2" fontId="16" fillId="0" borderId="5" xfId="0" applyNumberFormat="1" applyFont="1" applyBorder="1"/>
    <xf numFmtId="2" fontId="9" fillId="0" borderId="0" xfId="0" applyNumberFormat="1" applyFont="1"/>
    <xf numFmtId="0" fontId="16" fillId="0" borderId="0" xfId="0" applyFont="1"/>
    <xf numFmtId="0" fontId="11" fillId="0" borderId="0" xfId="0" applyFont="1"/>
    <xf numFmtId="0" fontId="17" fillId="0" borderId="0" xfId="0" applyFont="1"/>
    <xf numFmtId="0" fontId="18" fillId="0" borderId="0" xfId="0" applyFont="1"/>
    <xf numFmtId="0" fontId="0" fillId="0" borderId="0" xfId="0" applyAlignment="1">
      <alignment wrapText="1"/>
    </xf>
    <xf numFmtId="0" fontId="0" fillId="5" borderId="5" xfId="0" applyFill="1" applyBorder="1"/>
    <xf numFmtId="0" fontId="9" fillId="5" borderId="0" xfId="0" applyFont="1" applyFill="1"/>
    <xf numFmtId="0" fontId="0" fillId="5" borderId="0" xfId="0" applyFill="1"/>
    <xf numFmtId="0" fontId="20" fillId="0" borderId="0" xfId="0" applyFont="1"/>
    <xf numFmtId="2" fontId="20" fillId="0" borderId="5" xfId="0" applyNumberFormat="1" applyFont="1" applyBorder="1"/>
    <xf numFmtId="2" fontId="20" fillId="0" borderId="18" xfId="0" applyNumberFormat="1" applyFont="1" applyBorder="1"/>
    <xf numFmtId="0" fontId="2" fillId="0" borderId="11" xfId="0" applyFont="1" applyBorder="1"/>
    <xf numFmtId="0" fontId="9" fillId="0" borderId="11" xfId="0" applyFont="1" applyBorder="1"/>
    <xf numFmtId="0" fontId="2" fillId="0" borderId="8" xfId="0" applyFont="1" applyBorder="1"/>
    <xf numFmtId="0" fontId="2" fillId="0" borderId="9" xfId="0" applyFont="1" applyBorder="1"/>
    <xf numFmtId="0" fontId="2" fillId="0" borderId="10" xfId="0" applyFont="1" applyBorder="1"/>
    <xf numFmtId="2" fontId="0" fillId="0" borderId="13" xfId="0" applyNumberFormat="1" applyBorder="1"/>
    <xf numFmtId="2" fontId="0" fillId="0" borderId="7" xfId="0" applyNumberFormat="1" applyBorder="1"/>
    <xf numFmtId="0" fontId="18" fillId="0" borderId="7" xfId="0" applyFont="1" applyBorder="1"/>
    <xf numFmtId="2" fontId="0" fillId="0" borderId="9" xfId="0" applyNumberFormat="1" applyBorder="1"/>
    <xf numFmtId="2" fontId="0" fillId="0" borderId="11" xfId="0" applyNumberFormat="1" applyBorder="1"/>
    <xf numFmtId="0" fontId="18" fillId="0" borderId="0" xfId="0" applyFont="1" applyAlignment="1">
      <alignment horizontal="center"/>
    </xf>
    <xf numFmtId="0" fontId="9" fillId="0" borderId="7" xfId="0" applyFont="1" applyBorder="1"/>
    <xf numFmtId="0" fontId="0" fillId="0" borderId="16" xfId="0" applyBorder="1" applyAlignment="1">
      <alignment wrapText="1"/>
    </xf>
    <xf numFmtId="0" fontId="0" fillId="0" borderId="22" xfId="0" applyBorder="1" applyAlignment="1">
      <alignment wrapText="1"/>
    </xf>
    <xf numFmtId="0" fontId="0" fillId="0" borderId="54" xfId="0" applyBorder="1" applyAlignment="1">
      <alignment wrapText="1"/>
    </xf>
    <xf numFmtId="0" fontId="0" fillId="0" borderId="34" xfId="0" applyBorder="1" applyAlignment="1">
      <alignment wrapText="1"/>
    </xf>
    <xf numFmtId="0" fontId="9" fillId="0" borderId="54" xfId="0" applyFont="1" applyBorder="1"/>
    <xf numFmtId="0" fontId="9" fillId="0" borderId="22" xfId="0" applyFont="1" applyBorder="1"/>
    <xf numFmtId="0" fontId="9" fillId="0" borderId="34" xfId="0" applyFont="1" applyBorder="1"/>
    <xf numFmtId="0" fontId="9" fillId="5" borderId="20" xfId="0" applyFont="1" applyFill="1" applyBorder="1"/>
    <xf numFmtId="0" fontId="0" fillId="5" borderId="20" xfId="0" applyFill="1" applyBorder="1" applyAlignment="1">
      <alignment wrapText="1"/>
    </xf>
    <xf numFmtId="0" fontId="9" fillId="5" borderId="22" xfId="0" applyFont="1" applyFill="1" applyBorder="1"/>
    <xf numFmtId="0" fontId="0" fillId="5" borderId="22" xfId="0" applyFill="1" applyBorder="1" applyAlignment="1">
      <alignment wrapText="1"/>
    </xf>
    <xf numFmtId="0" fontId="9" fillId="5" borderId="22" xfId="0" applyFont="1" applyFill="1" applyBorder="1" applyAlignment="1">
      <alignment wrapText="1"/>
    </xf>
    <xf numFmtId="0" fontId="9" fillId="5" borderId="34" xfId="0" applyFont="1" applyFill="1" applyBorder="1"/>
    <xf numFmtId="0" fontId="0" fillId="5" borderId="34" xfId="0" applyFill="1" applyBorder="1" applyAlignment="1">
      <alignment wrapText="1"/>
    </xf>
    <xf numFmtId="0" fontId="9" fillId="5" borderId="11" xfId="0" applyFont="1" applyFill="1" applyBorder="1"/>
    <xf numFmtId="0" fontId="17" fillId="0" borderId="7" xfId="0" applyFont="1" applyBorder="1"/>
    <xf numFmtId="0" fontId="0" fillId="0" borderId="13" xfId="0" applyBorder="1" applyAlignment="1">
      <alignment wrapText="1"/>
    </xf>
    <xf numFmtId="17" fontId="0" fillId="0" borderId="4" xfId="0" applyNumberFormat="1" applyBorder="1"/>
    <xf numFmtId="17" fontId="0" fillId="0" borderId="7" xfId="0" applyNumberFormat="1" applyBorder="1"/>
    <xf numFmtId="0" fontId="0" fillId="0" borderId="13" xfId="0" quotePrefix="1" applyBorder="1" applyAlignment="1">
      <alignment wrapText="1"/>
    </xf>
    <xf numFmtId="0" fontId="19" fillId="0" borderId="0" xfId="0" applyFont="1"/>
    <xf numFmtId="0" fontId="0" fillId="6" borderId="9" xfId="0" applyFill="1" applyBorder="1" applyProtection="1">
      <protection hidden="1"/>
    </xf>
    <xf numFmtId="0" fontId="0" fillId="6" borderId="0" xfId="0" applyFill="1" applyProtection="1">
      <protection hidden="1"/>
    </xf>
    <xf numFmtId="0" fontId="0" fillId="6" borderId="18" xfId="0" applyFill="1" applyBorder="1" applyProtection="1">
      <protection hidden="1"/>
    </xf>
    <xf numFmtId="0" fontId="0" fillId="11" borderId="0" xfId="0" applyFill="1" applyProtection="1">
      <protection hidden="1"/>
    </xf>
    <xf numFmtId="0" fontId="0" fillId="0" borderId="5" xfId="0" applyBorder="1" applyProtection="1">
      <protection hidden="1"/>
    </xf>
    <xf numFmtId="164" fontId="0" fillId="0" borderId="5" xfId="0" applyNumberFormat="1" applyBorder="1" applyProtection="1">
      <protection hidden="1"/>
    </xf>
    <xf numFmtId="0" fontId="0" fillId="8" borderId="9" xfId="0" applyFill="1" applyBorder="1" applyProtection="1">
      <protection hidden="1"/>
    </xf>
    <xf numFmtId="0" fontId="0" fillId="8" borderId="0" xfId="0" applyFill="1" applyProtection="1">
      <protection hidden="1"/>
    </xf>
    <xf numFmtId="0" fontId="0" fillId="8" borderId="18" xfId="0" applyFill="1" applyBorder="1" applyProtection="1">
      <protection hidden="1"/>
    </xf>
    <xf numFmtId="0" fontId="0" fillId="0" borderId="0" xfId="0" applyProtection="1">
      <protection hidden="1"/>
    </xf>
    <xf numFmtId="0" fontId="0" fillId="0" borderId="7" xfId="0" applyBorder="1" applyProtection="1">
      <protection hidden="1"/>
    </xf>
    <xf numFmtId="164" fontId="0" fillId="0" borderId="7" xfId="0" applyNumberFormat="1" applyBorder="1" applyProtection="1">
      <protection hidden="1"/>
    </xf>
    <xf numFmtId="0" fontId="11" fillId="11" borderId="0" xfId="0" applyFont="1" applyFill="1" applyProtection="1">
      <protection hidden="1"/>
    </xf>
    <xf numFmtId="0" fontId="11" fillId="8" borderId="0" xfId="0" applyFont="1" applyFill="1" applyProtection="1">
      <protection hidden="1"/>
    </xf>
    <xf numFmtId="0" fontId="0" fillId="6" borderId="10" xfId="0" applyFill="1" applyBorder="1" applyProtection="1">
      <protection hidden="1"/>
    </xf>
    <xf numFmtId="0" fontId="0" fillId="6" borderId="15" xfId="0" applyFill="1" applyBorder="1" applyProtection="1">
      <protection hidden="1"/>
    </xf>
    <xf numFmtId="0" fontId="0" fillId="6" borderId="17" xfId="0" applyFill="1" applyBorder="1" applyProtection="1">
      <protection hidden="1"/>
    </xf>
    <xf numFmtId="0" fontId="0" fillId="11" borderId="15" xfId="0" applyFill="1" applyBorder="1" applyProtection="1">
      <protection hidden="1"/>
    </xf>
    <xf numFmtId="0" fontId="0" fillId="8" borderId="10" xfId="0" applyFill="1" applyBorder="1" applyProtection="1">
      <protection hidden="1"/>
    </xf>
    <xf numFmtId="0" fontId="0" fillId="8" borderId="15" xfId="0" applyFill="1" applyBorder="1" applyProtection="1">
      <protection hidden="1"/>
    </xf>
    <xf numFmtId="0" fontId="0" fillId="8" borderId="17" xfId="0" applyFill="1" applyBorder="1" applyProtection="1">
      <protection hidden="1"/>
    </xf>
    <xf numFmtId="0" fontId="0" fillId="21" borderId="8" xfId="0" applyFill="1" applyBorder="1" applyProtection="1">
      <protection hidden="1"/>
    </xf>
    <xf numFmtId="0" fontId="0" fillId="21" borderId="14" xfId="0" applyFill="1" applyBorder="1" applyProtection="1">
      <protection hidden="1"/>
    </xf>
    <xf numFmtId="0" fontId="0" fillId="21" borderId="16" xfId="0" applyFill="1" applyBorder="1" applyProtection="1">
      <protection hidden="1"/>
    </xf>
    <xf numFmtId="0" fontId="0" fillId="9" borderId="8" xfId="0" applyFill="1" applyBorder="1" applyProtection="1">
      <protection hidden="1"/>
    </xf>
    <xf numFmtId="0" fontId="0" fillId="9" borderId="14" xfId="0" applyFill="1" applyBorder="1" applyProtection="1">
      <protection hidden="1"/>
    </xf>
    <xf numFmtId="0" fontId="0" fillId="13" borderId="9" xfId="0" applyFill="1" applyBorder="1" applyProtection="1">
      <protection hidden="1"/>
    </xf>
    <xf numFmtId="0" fontId="0" fillId="13" borderId="0" xfId="0" applyFill="1" applyProtection="1">
      <protection hidden="1"/>
    </xf>
    <xf numFmtId="0" fontId="0" fillId="13" borderId="18" xfId="0" applyFill="1" applyBorder="1" applyProtection="1">
      <protection hidden="1"/>
    </xf>
    <xf numFmtId="0" fontId="0" fillId="21" borderId="9" xfId="0" applyFill="1" applyBorder="1" applyProtection="1">
      <protection hidden="1"/>
    </xf>
    <xf numFmtId="0" fontId="0" fillId="21" borderId="0" xfId="0" applyFill="1" applyProtection="1">
      <protection hidden="1"/>
    </xf>
    <xf numFmtId="0" fontId="11" fillId="21" borderId="18" xfId="0" applyFont="1" applyFill="1" applyBorder="1" applyProtection="1">
      <protection hidden="1"/>
    </xf>
    <xf numFmtId="0" fontId="11" fillId="9" borderId="9" xfId="0" applyFont="1" applyFill="1" applyBorder="1" applyProtection="1">
      <protection hidden="1"/>
    </xf>
    <xf numFmtId="0" fontId="11" fillId="9" borderId="0" xfId="0" applyFont="1" applyFill="1" applyProtection="1">
      <protection hidden="1"/>
    </xf>
    <xf numFmtId="0" fontId="0" fillId="9" borderId="0" xfId="0" applyFill="1" applyProtection="1">
      <protection hidden="1"/>
    </xf>
    <xf numFmtId="0" fontId="11" fillId="13" borderId="9" xfId="0" applyFont="1" applyFill="1" applyBorder="1" applyProtection="1">
      <protection hidden="1"/>
    </xf>
    <xf numFmtId="0" fontId="11" fillId="13" borderId="0" xfId="0" applyFont="1" applyFill="1" applyProtection="1">
      <protection hidden="1"/>
    </xf>
    <xf numFmtId="0" fontId="0" fillId="21" borderId="18" xfId="0" applyFill="1" applyBorder="1" applyProtection="1">
      <protection hidden="1"/>
    </xf>
    <xf numFmtId="0" fontId="0" fillId="9" borderId="9" xfId="0" applyFill="1" applyBorder="1" applyProtection="1">
      <protection hidden="1"/>
    </xf>
    <xf numFmtId="0" fontId="2" fillId="21" borderId="18" xfId="0" applyFont="1" applyFill="1" applyBorder="1" applyProtection="1">
      <protection hidden="1"/>
    </xf>
    <xf numFmtId="0" fontId="2" fillId="9" borderId="9" xfId="0" applyFont="1" applyFill="1" applyBorder="1" applyProtection="1">
      <protection hidden="1"/>
    </xf>
    <xf numFmtId="0" fontId="10" fillId="0" borderId="11" xfId="0" applyFont="1" applyBorder="1" applyProtection="1">
      <protection hidden="1"/>
    </xf>
    <xf numFmtId="0" fontId="0" fillId="0" borderId="11" xfId="0" applyBorder="1" applyProtection="1">
      <protection hidden="1"/>
    </xf>
    <xf numFmtId="0" fontId="10" fillId="0" borderId="7" xfId="0" applyFont="1" applyBorder="1" applyProtection="1">
      <protection hidden="1"/>
    </xf>
    <xf numFmtId="164" fontId="0" fillId="9" borderId="9" xfId="0" applyNumberFormat="1" applyFill="1" applyBorder="1" applyProtection="1">
      <protection hidden="1"/>
    </xf>
    <xf numFmtId="0" fontId="0" fillId="0" borderId="9" xfId="0" applyBorder="1" applyProtection="1">
      <protection hidden="1"/>
    </xf>
    <xf numFmtId="0" fontId="0" fillId="21" borderId="10" xfId="0" applyFill="1" applyBorder="1" applyProtection="1">
      <protection hidden="1"/>
    </xf>
    <xf numFmtId="0" fontId="0" fillId="21" borderId="15" xfId="0" applyFill="1" applyBorder="1" applyAlignment="1" applyProtection="1">
      <alignment wrapText="1"/>
      <protection hidden="1"/>
    </xf>
    <xf numFmtId="0" fontId="0" fillId="21" borderId="15" xfId="0" applyFill="1" applyBorder="1" applyProtection="1">
      <protection hidden="1"/>
    </xf>
    <xf numFmtId="0" fontId="0" fillId="21" borderId="17" xfId="0" applyFill="1" applyBorder="1" applyProtection="1">
      <protection hidden="1"/>
    </xf>
    <xf numFmtId="0" fontId="0" fillId="9" borderId="10" xfId="0" applyFill="1" applyBorder="1" applyProtection="1">
      <protection hidden="1"/>
    </xf>
    <xf numFmtId="0" fontId="0" fillId="9" borderId="15" xfId="0" applyFill="1" applyBorder="1" applyProtection="1">
      <protection hidden="1"/>
    </xf>
    <xf numFmtId="0" fontId="0" fillId="13" borderId="10" xfId="0" applyFill="1" applyBorder="1" applyProtection="1">
      <protection hidden="1"/>
    </xf>
    <xf numFmtId="0" fontId="0" fillId="13" borderId="15" xfId="0" applyFill="1" applyBorder="1" applyProtection="1">
      <protection hidden="1"/>
    </xf>
    <xf numFmtId="0" fontId="0" fillId="13" borderId="17" xfId="0" applyFill="1" applyBorder="1" applyProtection="1">
      <protection hidden="1"/>
    </xf>
    <xf numFmtId="0" fontId="0" fillId="17" borderId="8" xfId="0" applyFill="1" applyBorder="1" applyProtection="1">
      <protection hidden="1"/>
    </xf>
    <xf numFmtId="0" fontId="0" fillId="17" borderId="14" xfId="0" applyFill="1" applyBorder="1" applyProtection="1">
      <protection hidden="1"/>
    </xf>
    <xf numFmtId="0" fontId="0" fillId="17" borderId="16" xfId="0" applyFill="1" applyBorder="1" applyProtection="1">
      <protection hidden="1"/>
    </xf>
    <xf numFmtId="0" fontId="0" fillId="18" borderId="8" xfId="0" applyFill="1" applyBorder="1" applyProtection="1">
      <protection hidden="1"/>
    </xf>
    <xf numFmtId="0" fontId="0" fillId="18" borderId="14" xfId="0" applyFill="1" applyBorder="1" applyProtection="1">
      <protection hidden="1"/>
    </xf>
    <xf numFmtId="0" fontId="0" fillId="18" borderId="16" xfId="0" applyFill="1" applyBorder="1" applyProtection="1">
      <protection hidden="1"/>
    </xf>
    <xf numFmtId="0" fontId="0" fillId="17" borderId="9" xfId="0" applyFill="1" applyBorder="1" applyProtection="1">
      <protection hidden="1"/>
    </xf>
    <xf numFmtId="0" fontId="0" fillId="17" borderId="0" xfId="0" applyFill="1" applyProtection="1">
      <protection hidden="1"/>
    </xf>
    <xf numFmtId="0" fontId="23" fillId="17" borderId="0" xfId="0" applyFont="1" applyFill="1" applyProtection="1">
      <protection hidden="1"/>
    </xf>
    <xf numFmtId="0" fontId="11" fillId="17" borderId="18" xfId="0" applyFont="1" applyFill="1" applyBorder="1" applyProtection="1">
      <protection hidden="1"/>
    </xf>
    <xf numFmtId="0" fontId="23" fillId="18" borderId="9" xfId="0" applyFont="1" applyFill="1" applyBorder="1" applyProtection="1">
      <protection hidden="1"/>
    </xf>
    <xf numFmtId="0" fontId="0" fillId="18" borderId="0" xfId="0" applyFill="1" applyProtection="1">
      <protection hidden="1"/>
    </xf>
    <xf numFmtId="0" fontId="0" fillId="18" borderId="18" xfId="0" applyFill="1" applyBorder="1" applyProtection="1">
      <protection hidden="1"/>
    </xf>
    <xf numFmtId="0" fontId="0" fillId="17" borderId="18" xfId="0" applyFill="1" applyBorder="1" applyProtection="1">
      <protection hidden="1"/>
    </xf>
    <xf numFmtId="0" fontId="0" fillId="18" borderId="9" xfId="0" applyFill="1" applyBorder="1" applyProtection="1">
      <protection hidden="1"/>
    </xf>
    <xf numFmtId="0" fontId="9" fillId="0" borderId="0" xfId="0" applyFont="1" applyProtection="1">
      <protection hidden="1"/>
    </xf>
    <xf numFmtId="164" fontId="0" fillId="17" borderId="0" xfId="0" applyNumberFormat="1" applyFill="1" applyProtection="1">
      <protection hidden="1"/>
    </xf>
    <xf numFmtId="164" fontId="0" fillId="18" borderId="0" xfId="0" applyNumberFormat="1" applyFill="1" applyProtection="1">
      <protection hidden="1"/>
    </xf>
    <xf numFmtId="0" fontId="0" fillId="0" borderId="4" xfId="0" applyBorder="1" applyProtection="1">
      <protection hidden="1"/>
    </xf>
    <xf numFmtId="164" fontId="0" fillId="0" borderId="4" xfId="0" applyNumberFormat="1" applyBorder="1" applyProtection="1">
      <protection hidden="1"/>
    </xf>
    <xf numFmtId="0" fontId="0" fillId="0" borderId="6" xfId="0" applyBorder="1" applyProtection="1">
      <protection hidden="1"/>
    </xf>
    <xf numFmtId="164" fontId="0" fillId="0" borderId="6" xfId="0" applyNumberFormat="1" applyBorder="1" applyProtection="1">
      <protection hidden="1"/>
    </xf>
    <xf numFmtId="0" fontId="23" fillId="18" borderId="0" xfId="0" applyFont="1" applyFill="1" applyProtection="1">
      <protection hidden="1"/>
    </xf>
    <xf numFmtId="2" fontId="0" fillId="17" borderId="0" xfId="0" applyNumberFormat="1" applyFill="1" applyProtection="1">
      <protection hidden="1"/>
    </xf>
    <xf numFmtId="2" fontId="0" fillId="18" borderId="0" xfId="0" applyNumberFormat="1" applyFill="1" applyProtection="1">
      <protection hidden="1"/>
    </xf>
    <xf numFmtId="0" fontId="0" fillId="0" borderId="13" xfId="0" applyBorder="1" applyProtection="1">
      <protection hidden="1"/>
    </xf>
    <xf numFmtId="164" fontId="0" fillId="0" borderId="18" xfId="0" applyNumberFormat="1" applyBorder="1" applyProtection="1">
      <protection hidden="1"/>
    </xf>
    <xf numFmtId="164" fontId="0" fillId="0" borderId="17" xfId="0" applyNumberFormat="1" applyBorder="1" applyProtection="1">
      <protection hidden="1"/>
    </xf>
    <xf numFmtId="0" fontId="2" fillId="17" borderId="0" xfId="0" applyFont="1" applyFill="1" applyProtection="1">
      <protection hidden="1"/>
    </xf>
    <xf numFmtId="0" fontId="2" fillId="18" borderId="0" xfId="0" applyFont="1" applyFill="1" applyProtection="1">
      <protection hidden="1"/>
    </xf>
    <xf numFmtId="0" fontId="0" fillId="17" borderId="10" xfId="0" applyFill="1" applyBorder="1" applyProtection="1">
      <protection hidden="1"/>
    </xf>
    <xf numFmtId="0" fontId="0" fillId="17" borderId="15" xfId="0" applyFill="1" applyBorder="1" applyProtection="1">
      <protection hidden="1"/>
    </xf>
    <xf numFmtId="0" fontId="0" fillId="17" borderId="17" xfId="0" applyFill="1" applyBorder="1" applyProtection="1">
      <protection hidden="1"/>
    </xf>
    <xf numFmtId="0" fontId="0" fillId="18" borderId="10" xfId="0" applyFill="1" applyBorder="1" applyProtection="1">
      <protection hidden="1"/>
    </xf>
    <xf numFmtId="0" fontId="0" fillId="18" borderId="15" xfId="0" applyFill="1" applyBorder="1" applyProtection="1">
      <protection hidden="1"/>
    </xf>
    <xf numFmtId="0" fontId="0" fillId="18" borderId="17" xfId="0" applyFill="1" applyBorder="1" applyProtection="1">
      <protection hidden="1"/>
    </xf>
    <xf numFmtId="0" fontId="0" fillId="19" borderId="8" xfId="0" applyFill="1" applyBorder="1" applyProtection="1">
      <protection hidden="1"/>
    </xf>
    <xf numFmtId="0" fontId="0" fillId="19" borderId="14" xfId="0" applyFill="1" applyBorder="1" applyProtection="1">
      <protection hidden="1"/>
    </xf>
    <xf numFmtId="0" fontId="0" fillId="19" borderId="16" xfId="0" applyFill="1" applyBorder="1" applyProtection="1">
      <protection hidden="1"/>
    </xf>
    <xf numFmtId="0" fontId="0" fillId="20" borderId="8" xfId="0" applyFill="1" applyBorder="1" applyProtection="1">
      <protection hidden="1"/>
    </xf>
    <xf numFmtId="0" fontId="0" fillId="20" borderId="14" xfId="0" applyFill="1" applyBorder="1" applyProtection="1">
      <protection hidden="1"/>
    </xf>
    <xf numFmtId="0" fontId="0" fillId="20" borderId="16" xfId="0" applyFill="1" applyBorder="1" applyProtection="1">
      <protection hidden="1"/>
    </xf>
    <xf numFmtId="0" fontId="0" fillId="19" borderId="9" xfId="0" applyFill="1" applyBorder="1" applyProtection="1">
      <protection hidden="1"/>
    </xf>
    <xf numFmtId="0" fontId="0" fillId="19" borderId="0" xfId="0" applyFill="1" applyProtection="1">
      <protection hidden="1"/>
    </xf>
    <xf numFmtId="0" fontId="23" fillId="19" borderId="0" xfId="0" applyFont="1" applyFill="1" applyProtection="1">
      <protection hidden="1"/>
    </xf>
    <xf numFmtId="0" fontId="23" fillId="19" borderId="18" xfId="0" applyFont="1" applyFill="1" applyBorder="1" applyProtection="1">
      <protection hidden="1"/>
    </xf>
    <xf numFmtId="0" fontId="23" fillId="20" borderId="9" xfId="0" applyFont="1" applyFill="1" applyBorder="1" applyProtection="1">
      <protection hidden="1"/>
    </xf>
    <xf numFmtId="0" fontId="0" fillId="20" borderId="0" xfId="0" applyFill="1" applyProtection="1">
      <protection hidden="1"/>
    </xf>
    <xf numFmtId="0" fontId="0" fillId="20" borderId="18" xfId="0" applyFill="1" applyBorder="1" applyProtection="1">
      <protection hidden="1"/>
    </xf>
    <xf numFmtId="0" fontId="0" fillId="20" borderId="9" xfId="0" applyFill="1" applyBorder="1" applyProtection="1">
      <protection hidden="1"/>
    </xf>
    <xf numFmtId="0" fontId="23" fillId="20" borderId="0" xfId="0" applyFont="1" applyFill="1" applyProtection="1">
      <protection hidden="1"/>
    </xf>
    <xf numFmtId="0" fontId="0" fillId="0" borderId="10" xfId="0" applyBorder="1" applyProtection="1">
      <protection hidden="1"/>
    </xf>
    <xf numFmtId="0" fontId="9" fillId="0" borderId="11" xfId="0" applyFont="1" applyBorder="1" applyProtection="1">
      <protection hidden="1"/>
    </xf>
    <xf numFmtId="164" fontId="0" fillId="19" borderId="0" xfId="0" applyNumberFormat="1" applyFill="1" applyProtection="1">
      <protection hidden="1"/>
    </xf>
    <xf numFmtId="0" fontId="9" fillId="0" borderId="10" xfId="0" applyFont="1" applyBorder="1" applyProtection="1">
      <protection hidden="1"/>
    </xf>
    <xf numFmtId="0" fontId="0" fillId="19" borderId="18" xfId="0" applyFill="1" applyBorder="1" applyProtection="1">
      <protection hidden="1"/>
    </xf>
    <xf numFmtId="0" fontId="0" fillId="19" borderId="10" xfId="0" applyFill="1" applyBorder="1" applyProtection="1">
      <protection hidden="1"/>
    </xf>
    <xf numFmtId="0" fontId="0" fillId="19" borderId="15" xfId="0" applyFill="1" applyBorder="1" applyProtection="1">
      <protection hidden="1"/>
    </xf>
    <xf numFmtId="0" fontId="0" fillId="19" borderId="17" xfId="0" applyFill="1" applyBorder="1" applyProtection="1">
      <protection hidden="1"/>
    </xf>
    <xf numFmtId="0" fontId="0" fillId="20" borderId="10" xfId="0" applyFill="1" applyBorder="1" applyProtection="1">
      <protection hidden="1"/>
    </xf>
    <xf numFmtId="0" fontId="0" fillId="20" borderId="15" xfId="0" applyFill="1" applyBorder="1" applyProtection="1">
      <protection hidden="1"/>
    </xf>
    <xf numFmtId="0" fontId="0" fillId="20" borderId="17" xfId="0" applyFill="1" applyBorder="1" applyProtection="1">
      <protection hidden="1"/>
    </xf>
    <xf numFmtId="1" fontId="0" fillId="0" borderId="0" xfId="0" applyNumberFormat="1" applyProtection="1">
      <protection hidden="1"/>
    </xf>
    <xf numFmtId="0" fontId="9" fillId="11" borderId="0" xfId="0" applyFont="1" applyFill="1" applyProtection="1">
      <protection hidden="1"/>
    </xf>
    <xf numFmtId="0" fontId="0" fillId="0" borderId="8" xfId="0" applyBorder="1" applyProtection="1">
      <protection hidden="1"/>
    </xf>
    <xf numFmtId="0" fontId="0" fillId="10" borderId="0" xfId="0" applyFill="1" applyProtection="1">
      <protection hidden="1"/>
    </xf>
    <xf numFmtId="0" fontId="0" fillId="7" borderId="9" xfId="0" applyFill="1" applyBorder="1" applyProtection="1">
      <protection hidden="1"/>
    </xf>
    <xf numFmtId="0" fontId="0" fillId="7" borderId="0" xfId="0" applyFill="1" applyProtection="1">
      <protection hidden="1"/>
    </xf>
    <xf numFmtId="0" fontId="0" fillId="7" borderId="18" xfId="0" applyFill="1" applyBorder="1" applyProtection="1">
      <protection hidden="1"/>
    </xf>
    <xf numFmtId="0" fontId="11" fillId="10" borderId="0" xfId="0" applyFont="1" applyFill="1" applyProtection="1">
      <protection hidden="1"/>
    </xf>
    <xf numFmtId="0" fontId="11" fillId="7" borderId="0" xfId="0" applyFont="1" applyFill="1" applyProtection="1">
      <protection hidden="1"/>
    </xf>
    <xf numFmtId="0" fontId="0" fillId="10" borderId="15" xfId="0" applyFill="1" applyBorder="1" applyProtection="1">
      <protection hidden="1"/>
    </xf>
    <xf numFmtId="0" fontId="0" fillId="6" borderId="8" xfId="0" applyFill="1" applyBorder="1" applyProtection="1">
      <protection hidden="1"/>
    </xf>
    <xf numFmtId="0" fontId="0" fillId="6" borderId="14" xfId="0" applyFill="1" applyBorder="1" applyProtection="1">
      <protection hidden="1"/>
    </xf>
    <xf numFmtId="0" fontId="0" fillId="6" borderId="16" xfId="0" applyFill="1" applyBorder="1" applyProtection="1">
      <protection hidden="1"/>
    </xf>
    <xf numFmtId="0" fontId="0" fillId="11" borderId="14" xfId="0" applyFill="1" applyBorder="1" applyProtection="1">
      <protection hidden="1"/>
    </xf>
    <xf numFmtId="0" fontId="0" fillId="8" borderId="8" xfId="0" applyFill="1" applyBorder="1" applyProtection="1">
      <protection hidden="1"/>
    </xf>
    <xf numFmtId="0" fontId="0" fillId="8" borderId="14" xfId="0" applyFill="1" applyBorder="1" applyProtection="1">
      <protection hidden="1"/>
    </xf>
    <xf numFmtId="0" fontId="0" fillId="8" borderId="16" xfId="0" applyFill="1" applyBorder="1" applyProtection="1">
      <protection hidden="1"/>
    </xf>
    <xf numFmtId="0" fontId="11" fillId="6" borderId="18" xfId="0" applyFont="1" applyFill="1" applyBorder="1" applyAlignment="1" applyProtection="1">
      <alignment horizontal="left"/>
      <protection hidden="1"/>
    </xf>
    <xf numFmtId="0" fontId="11" fillId="11" borderId="0" xfId="0" applyFont="1" applyFill="1" applyAlignment="1" applyProtection="1">
      <alignment horizontal="left"/>
      <protection hidden="1"/>
    </xf>
    <xf numFmtId="0" fontId="11" fillId="8" borderId="9" xfId="0" applyFont="1" applyFill="1" applyBorder="1" applyProtection="1">
      <protection hidden="1"/>
    </xf>
    <xf numFmtId="0" fontId="11" fillId="8" borderId="0" xfId="0" applyFont="1" applyFill="1" applyAlignment="1" applyProtection="1">
      <alignment horizontal="left"/>
      <protection hidden="1"/>
    </xf>
    <xf numFmtId="0" fontId="2" fillId="6" borderId="0" xfId="0" applyFont="1" applyFill="1" applyProtection="1">
      <protection hidden="1"/>
    </xf>
    <xf numFmtId="0" fontId="9" fillId="10" borderId="0" xfId="0" applyFont="1" applyFill="1" applyProtection="1">
      <protection hidden="1"/>
    </xf>
    <xf numFmtId="0" fontId="0" fillId="12" borderId="14" xfId="0" applyFill="1" applyBorder="1" applyProtection="1">
      <protection hidden="1"/>
    </xf>
    <xf numFmtId="0" fontId="9" fillId="12" borderId="14" xfId="0" applyFont="1" applyFill="1" applyBorder="1" applyProtection="1">
      <protection hidden="1"/>
    </xf>
    <xf numFmtId="0" fontId="0" fillId="16" borderId="8" xfId="0" applyFill="1" applyBorder="1" applyProtection="1">
      <protection hidden="1"/>
    </xf>
    <xf numFmtId="0" fontId="0" fillId="16" borderId="14" xfId="0" applyFill="1" applyBorder="1" applyProtection="1">
      <protection hidden="1"/>
    </xf>
    <xf numFmtId="0" fontId="0" fillId="16" borderId="16" xfId="0" applyFill="1" applyBorder="1" applyProtection="1">
      <protection hidden="1"/>
    </xf>
    <xf numFmtId="0" fontId="0" fillId="12" borderId="0" xfId="0" applyFill="1" applyProtection="1">
      <protection hidden="1"/>
    </xf>
    <xf numFmtId="0" fontId="9" fillId="12" borderId="0" xfId="0" applyFont="1" applyFill="1" applyProtection="1">
      <protection hidden="1"/>
    </xf>
    <xf numFmtId="0" fontId="0" fillId="16" borderId="9" xfId="0" applyFill="1" applyBorder="1" applyProtection="1">
      <protection hidden="1"/>
    </xf>
    <xf numFmtId="0" fontId="0" fillId="16" borderId="0" xfId="0" applyFill="1" applyProtection="1">
      <protection hidden="1"/>
    </xf>
    <xf numFmtId="0" fontId="0" fillId="16" borderId="18" xfId="0" applyFill="1" applyBorder="1" applyProtection="1">
      <protection hidden="1"/>
    </xf>
    <xf numFmtId="0" fontId="0" fillId="12" borderId="15" xfId="0" applyFill="1" applyBorder="1" applyProtection="1">
      <protection hidden="1"/>
    </xf>
    <xf numFmtId="0" fontId="9" fillId="12" borderId="15" xfId="0" applyFont="1" applyFill="1" applyBorder="1" applyProtection="1">
      <protection hidden="1"/>
    </xf>
    <xf numFmtId="0" fontId="0" fillId="16" borderId="10" xfId="0" applyFill="1" applyBorder="1" applyProtection="1">
      <protection hidden="1"/>
    </xf>
    <xf numFmtId="0" fontId="0" fillId="16" borderId="15" xfId="0" applyFill="1" applyBorder="1" applyProtection="1">
      <protection hidden="1"/>
    </xf>
    <xf numFmtId="0" fontId="0" fillId="16" borderId="17" xfId="0" applyFill="1" applyBorder="1" applyProtection="1">
      <protection hidden="1"/>
    </xf>
    <xf numFmtId="0" fontId="11" fillId="10" borderId="0" xfId="0" applyFont="1" applyFill="1" applyAlignment="1" applyProtection="1">
      <alignment horizontal="left"/>
      <protection hidden="1"/>
    </xf>
    <xf numFmtId="0" fontId="11" fillId="7" borderId="9" xfId="0" applyFont="1" applyFill="1" applyBorder="1" applyProtection="1">
      <protection hidden="1"/>
    </xf>
    <xf numFmtId="0" fontId="11" fillId="7" borderId="0" xfId="0" applyFont="1" applyFill="1" applyAlignment="1" applyProtection="1">
      <alignment horizontal="left"/>
      <protection hidden="1"/>
    </xf>
    <xf numFmtId="0" fontId="10" fillId="6" borderId="0" xfId="0" applyFont="1" applyFill="1" applyProtection="1">
      <protection hidden="1"/>
    </xf>
    <xf numFmtId="0" fontId="11" fillId="6" borderId="18" xfId="0" applyFont="1" applyFill="1" applyBorder="1" applyProtection="1">
      <protection hidden="1"/>
    </xf>
    <xf numFmtId="0" fontId="0" fillId="15" borderId="8" xfId="0" applyFill="1" applyBorder="1" applyProtection="1">
      <protection hidden="1"/>
    </xf>
    <xf numFmtId="0" fontId="0" fillId="15" borderId="14" xfId="0" applyFill="1" applyBorder="1" applyProtection="1">
      <protection hidden="1"/>
    </xf>
    <xf numFmtId="0" fontId="0" fillId="15" borderId="16" xfId="0" applyFill="1" applyBorder="1" applyProtection="1">
      <protection hidden="1"/>
    </xf>
    <xf numFmtId="0" fontId="0" fillId="15" borderId="9" xfId="0" applyFill="1" applyBorder="1" applyProtection="1">
      <protection hidden="1"/>
    </xf>
    <xf numFmtId="0" fontId="0" fillId="15" borderId="18" xfId="0" applyFill="1" applyBorder="1" applyProtection="1">
      <protection hidden="1"/>
    </xf>
    <xf numFmtId="0" fontId="0" fillId="15" borderId="10" xfId="0" applyFill="1" applyBorder="1" applyProtection="1">
      <protection hidden="1"/>
    </xf>
    <xf numFmtId="0" fontId="0" fillId="15" borderId="15" xfId="0" applyFill="1" applyBorder="1" applyProtection="1">
      <protection hidden="1"/>
    </xf>
    <xf numFmtId="0" fontId="0" fillId="15" borderId="17" xfId="0" applyFill="1" applyBorder="1" applyProtection="1">
      <protection hidden="1"/>
    </xf>
    <xf numFmtId="0" fontId="0" fillId="14" borderId="8" xfId="0" applyFill="1" applyBorder="1" applyProtection="1">
      <protection hidden="1"/>
    </xf>
    <xf numFmtId="0" fontId="0" fillId="14" borderId="14" xfId="0" applyFill="1" applyBorder="1" applyProtection="1">
      <protection hidden="1"/>
    </xf>
    <xf numFmtId="0" fontId="0" fillId="14" borderId="16" xfId="0" applyFill="1" applyBorder="1" applyProtection="1">
      <protection hidden="1"/>
    </xf>
    <xf numFmtId="0" fontId="0" fillId="14" borderId="9" xfId="0" applyFill="1" applyBorder="1" applyProtection="1">
      <protection hidden="1"/>
    </xf>
    <xf numFmtId="0" fontId="0" fillId="14" borderId="18" xfId="0" applyFill="1" applyBorder="1" applyProtection="1">
      <protection hidden="1"/>
    </xf>
    <xf numFmtId="0" fontId="0" fillId="14" borderId="10" xfId="0" applyFill="1" applyBorder="1" applyProtection="1">
      <protection hidden="1"/>
    </xf>
    <xf numFmtId="0" fontId="0" fillId="14" borderId="15" xfId="0" applyFill="1" applyBorder="1" applyProtection="1">
      <protection hidden="1"/>
    </xf>
    <xf numFmtId="0" fontId="0" fillId="14" borderId="17" xfId="0" applyFill="1" applyBorder="1" applyProtection="1">
      <protection hidden="1"/>
    </xf>
    <xf numFmtId="0" fontId="11" fillId="0" borderId="0" xfId="0" applyFont="1" applyProtection="1">
      <protection hidden="1"/>
    </xf>
    <xf numFmtId="0" fontId="0" fillId="3" borderId="13" xfId="0" applyFill="1" applyBorder="1" applyProtection="1">
      <protection locked="0"/>
    </xf>
    <xf numFmtId="165" fontId="0" fillId="3" borderId="13" xfId="0" applyNumberFormat="1" applyFill="1" applyBorder="1" applyProtection="1">
      <protection locked="0"/>
    </xf>
    <xf numFmtId="0" fontId="0" fillId="3" borderId="7" xfId="0" applyFill="1" applyBorder="1" applyProtection="1">
      <protection locked="0"/>
    </xf>
    <xf numFmtId="0" fontId="0" fillId="3" borderId="4" xfId="0" applyFill="1" applyBorder="1" applyProtection="1">
      <protection locked="0"/>
    </xf>
    <xf numFmtId="0" fontId="0" fillId="3" borderId="6" xfId="0" applyFill="1" applyBorder="1" applyProtection="1">
      <protection locked="0"/>
    </xf>
    <xf numFmtId="0" fontId="26" fillId="0" borderId="0" xfId="0" applyFont="1" applyProtection="1">
      <protection hidden="1"/>
    </xf>
    <xf numFmtId="0" fontId="26" fillId="0" borderId="0" xfId="0" applyFont="1" applyAlignment="1" applyProtection="1">
      <alignment vertical="center"/>
      <protection hidden="1"/>
    </xf>
    <xf numFmtId="1" fontId="26" fillId="0" borderId="0" xfId="0" applyNumberFormat="1" applyFont="1" applyAlignment="1" applyProtection="1">
      <alignment vertical="center"/>
      <protection hidden="1"/>
    </xf>
    <xf numFmtId="0" fontId="27" fillId="0" borderId="0" xfId="0" applyFont="1" applyAlignment="1" applyProtection="1">
      <alignment vertical="center"/>
      <protection hidden="1"/>
    </xf>
    <xf numFmtId="0" fontId="26" fillId="0" borderId="0" xfId="0" applyFont="1" applyAlignment="1" applyProtection="1">
      <alignment vertical="center" wrapText="1"/>
      <protection hidden="1"/>
    </xf>
    <xf numFmtId="0" fontId="28" fillId="12" borderId="7" xfId="0" applyFont="1" applyFill="1" applyBorder="1" applyAlignment="1" applyProtection="1">
      <alignment horizontal="center" vertical="center"/>
      <protection hidden="1"/>
    </xf>
    <xf numFmtId="0" fontId="28" fillId="12" borderId="41" xfId="0" applyFont="1" applyFill="1" applyBorder="1" applyAlignment="1" applyProtection="1">
      <alignment horizontal="center" vertical="center"/>
      <protection hidden="1"/>
    </xf>
    <xf numFmtId="0" fontId="28" fillId="12" borderId="37" xfId="0" applyFont="1" applyFill="1" applyBorder="1" applyAlignment="1" applyProtection="1">
      <alignment horizontal="center" vertical="center"/>
      <protection hidden="1"/>
    </xf>
    <xf numFmtId="0" fontId="26" fillId="0" borderId="20" xfId="0" applyFont="1" applyBorder="1" applyAlignment="1" applyProtection="1">
      <alignment horizontal="center" vertical="center"/>
      <protection hidden="1"/>
    </xf>
    <xf numFmtId="0" fontId="26" fillId="0" borderId="42" xfId="0" applyFont="1" applyBorder="1" applyAlignment="1" applyProtection="1">
      <alignment horizontal="center" vertical="center"/>
      <protection hidden="1"/>
    </xf>
    <xf numFmtId="1" fontId="26" fillId="0" borderId="48" xfId="0" applyNumberFormat="1" applyFont="1" applyBorder="1" applyAlignment="1" applyProtection="1">
      <alignment horizontal="center" vertical="center"/>
      <protection hidden="1"/>
    </xf>
    <xf numFmtId="1" fontId="26" fillId="0" borderId="49" xfId="0" applyNumberFormat="1"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0" fontId="26" fillId="0" borderId="43" xfId="0" applyFont="1" applyBorder="1" applyAlignment="1" applyProtection="1">
      <alignment horizontal="center" vertical="center"/>
      <protection hidden="1"/>
    </xf>
    <xf numFmtId="0" fontId="26" fillId="0" borderId="34" xfId="0" applyFont="1" applyBorder="1" applyAlignment="1" applyProtection="1">
      <alignment horizontal="center" vertical="center"/>
      <protection hidden="1"/>
    </xf>
    <xf numFmtId="0" fontId="26" fillId="0" borderId="44"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27" fillId="10" borderId="7" xfId="0" applyFont="1" applyFill="1" applyBorder="1" applyAlignment="1" applyProtection="1">
      <alignment horizontal="center" vertical="center"/>
      <protection hidden="1"/>
    </xf>
    <xf numFmtId="0" fontId="27" fillId="10" borderId="41" xfId="0" applyFont="1" applyFill="1" applyBorder="1" applyAlignment="1" applyProtection="1">
      <alignment horizontal="center" vertical="center"/>
      <protection hidden="1"/>
    </xf>
    <xf numFmtId="1" fontId="27" fillId="10" borderId="37" xfId="0" applyNumberFormat="1" applyFont="1" applyFill="1" applyBorder="1" applyAlignment="1" applyProtection="1">
      <alignment horizontal="center" vertical="center"/>
      <protection hidden="1"/>
    </xf>
    <xf numFmtId="1" fontId="27" fillId="10" borderId="38" xfId="0" applyNumberFormat="1" applyFont="1" applyFill="1" applyBorder="1" applyAlignment="1" applyProtection="1">
      <alignment horizontal="center" vertical="center"/>
      <protection hidden="1"/>
    </xf>
    <xf numFmtId="0" fontId="28" fillId="12" borderId="36" xfId="0" applyFont="1" applyFill="1" applyBorder="1" applyAlignment="1" applyProtection="1">
      <alignment horizontal="center" vertical="center" wrapText="1"/>
      <protection hidden="1"/>
    </xf>
    <xf numFmtId="0" fontId="28" fillId="12" borderId="52" xfId="0" applyFont="1" applyFill="1" applyBorder="1" applyAlignment="1" applyProtection="1">
      <alignment horizontal="center" vertical="center"/>
      <protection hidden="1"/>
    </xf>
    <xf numFmtId="0" fontId="28" fillId="12" borderId="37" xfId="0" applyFont="1" applyFill="1" applyBorder="1" applyAlignment="1" applyProtection="1">
      <alignment horizontal="center" vertical="center" wrapText="1"/>
      <protection hidden="1"/>
    </xf>
    <xf numFmtId="0" fontId="28" fillId="12" borderId="38" xfId="0" applyFont="1" applyFill="1" applyBorder="1" applyAlignment="1" applyProtection="1">
      <alignment horizontal="center" vertical="center" wrapText="1"/>
      <protection hidden="1"/>
    </xf>
    <xf numFmtId="0" fontId="26" fillId="0" borderId="28" xfId="0" applyFont="1" applyBorder="1" applyAlignment="1" applyProtection="1">
      <alignment horizontal="center" vertical="center"/>
      <protection hidden="1"/>
    </xf>
    <xf numFmtId="165" fontId="26" fillId="0" borderId="39" xfId="0" applyNumberFormat="1" applyFont="1" applyBorder="1" applyAlignment="1" applyProtection="1">
      <alignment horizontal="center" vertical="center"/>
      <protection hidden="1"/>
    </xf>
    <xf numFmtId="165" fontId="26" fillId="0" borderId="45" xfId="0" applyNumberFormat="1" applyFont="1" applyBorder="1" applyAlignment="1" applyProtection="1">
      <alignment horizontal="center" vertical="center"/>
      <protection hidden="1"/>
    </xf>
    <xf numFmtId="1" fontId="26" fillId="0" borderId="39" xfId="0" applyNumberFormat="1" applyFont="1" applyBorder="1" applyAlignment="1" applyProtection="1">
      <alignment horizontal="center" vertical="center"/>
      <protection hidden="1"/>
    </xf>
    <xf numFmtId="1" fontId="26" fillId="0" borderId="29" xfId="0" applyNumberFormat="1" applyFont="1" applyBorder="1" applyAlignment="1" applyProtection="1">
      <alignment horizontal="center" vertical="center"/>
      <protection hidden="1"/>
    </xf>
    <xf numFmtId="0" fontId="26" fillId="0" borderId="30" xfId="0" applyFont="1" applyBorder="1" applyAlignment="1" applyProtection="1">
      <alignment horizontal="center" vertical="center"/>
      <protection hidden="1"/>
    </xf>
    <xf numFmtId="165" fontId="26" fillId="0" borderId="35" xfId="0" applyNumberFormat="1" applyFont="1" applyBorder="1" applyAlignment="1" applyProtection="1">
      <alignment horizontal="center" vertical="center"/>
      <protection hidden="1"/>
    </xf>
    <xf numFmtId="165" fontId="26" fillId="0" borderId="46" xfId="0" applyNumberFormat="1" applyFont="1" applyBorder="1" applyAlignment="1" applyProtection="1">
      <alignment horizontal="center" vertical="center"/>
      <protection hidden="1"/>
    </xf>
    <xf numFmtId="1" fontId="26" fillId="0" borderId="27" xfId="0" applyNumberFormat="1" applyFont="1" applyBorder="1" applyAlignment="1" applyProtection="1">
      <alignment horizontal="center" vertical="center"/>
      <protection hidden="1"/>
    </xf>
    <xf numFmtId="1" fontId="26" fillId="0" borderId="31" xfId="0" applyNumberFormat="1" applyFont="1" applyBorder="1" applyAlignment="1" applyProtection="1">
      <alignment horizontal="center" vertical="center"/>
      <protection hidden="1"/>
    </xf>
    <xf numFmtId="0" fontId="26" fillId="0" borderId="32" xfId="0" applyFont="1" applyBorder="1" applyAlignment="1" applyProtection="1">
      <alignment horizontal="center" vertical="center"/>
      <protection hidden="1"/>
    </xf>
    <xf numFmtId="165" fontId="26" fillId="0" borderId="40" xfId="0" applyNumberFormat="1" applyFont="1" applyBorder="1" applyAlignment="1" applyProtection="1">
      <alignment horizontal="center" vertical="center"/>
      <protection hidden="1"/>
    </xf>
    <xf numFmtId="165" fontId="26" fillId="0" borderId="47" xfId="0" applyNumberFormat="1" applyFont="1" applyBorder="1" applyAlignment="1" applyProtection="1">
      <alignment horizontal="center" vertical="center"/>
      <protection hidden="1"/>
    </xf>
    <xf numFmtId="0" fontId="27" fillId="10" borderId="36" xfId="0" applyFont="1" applyFill="1" applyBorder="1" applyAlignment="1" applyProtection="1">
      <alignment horizontal="center" vertical="center"/>
      <protection hidden="1"/>
    </xf>
    <xf numFmtId="0" fontId="24" fillId="12" borderId="11" xfId="0" applyFont="1" applyFill="1" applyBorder="1" applyAlignment="1">
      <alignment horizontal="center"/>
    </xf>
    <xf numFmtId="0" fontId="22" fillId="12" borderId="12" xfId="0" applyFont="1" applyFill="1" applyBorder="1" applyAlignment="1">
      <alignment horizontal="center"/>
    </xf>
    <xf numFmtId="0" fontId="22" fillId="12" borderId="13" xfId="0" applyFont="1" applyFill="1" applyBorder="1" applyAlignment="1">
      <alignment horizontal="center"/>
    </xf>
    <xf numFmtId="0" fontId="11" fillId="0" borderId="11" xfId="0" applyFont="1" applyBorder="1" applyAlignment="1" applyProtection="1">
      <alignment horizontal="center"/>
      <protection hidden="1"/>
    </xf>
    <xf numFmtId="0" fontId="11" fillId="0" borderId="13" xfId="0" applyFont="1" applyBorder="1" applyAlignment="1" applyProtection="1">
      <alignment horizontal="center"/>
      <protection hidden="1"/>
    </xf>
    <xf numFmtId="0" fontId="12" fillId="0" borderId="11" xfId="0" applyFont="1" applyBorder="1" applyAlignment="1" applyProtection="1">
      <alignment horizontal="center"/>
      <protection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25" fillId="0" borderId="8" xfId="0" applyFont="1" applyBorder="1" applyProtection="1">
      <protection hidden="1"/>
    </xf>
    <xf numFmtId="0" fontId="25" fillId="0" borderId="14" xfId="0" applyFont="1" applyBorder="1" applyProtection="1">
      <protection hidden="1"/>
    </xf>
    <xf numFmtId="0" fontId="25" fillId="0" borderId="16" xfId="0" applyFont="1" applyBorder="1" applyProtection="1">
      <protection hidden="1"/>
    </xf>
    <xf numFmtId="0" fontId="25" fillId="0" borderId="9" xfId="0" applyFont="1" applyBorder="1" applyProtection="1">
      <protection hidden="1"/>
    </xf>
    <xf numFmtId="0" fontId="25" fillId="0" borderId="0" xfId="0" applyFont="1" applyProtection="1">
      <protection hidden="1"/>
    </xf>
    <xf numFmtId="0" fontId="25" fillId="0" borderId="18" xfId="0" applyFont="1" applyBorder="1" applyProtection="1">
      <protection hidden="1"/>
    </xf>
    <xf numFmtId="0" fontId="25" fillId="0" borderId="9" xfId="0" applyFont="1" applyBorder="1" applyAlignment="1" applyProtection="1">
      <alignment wrapText="1"/>
      <protection hidden="1"/>
    </xf>
    <xf numFmtId="0" fontId="25" fillId="0" borderId="0" xfId="0" applyFont="1" applyAlignment="1" applyProtection="1">
      <alignment wrapText="1"/>
      <protection hidden="1"/>
    </xf>
    <xf numFmtId="0" fontId="25" fillId="0" borderId="18" xfId="0" applyFont="1" applyBorder="1" applyAlignment="1" applyProtection="1">
      <alignment wrapText="1"/>
      <protection hidden="1"/>
    </xf>
    <xf numFmtId="0" fontId="25" fillId="0" borderId="10" xfId="0" applyFont="1" applyBorder="1" applyProtection="1">
      <protection hidden="1"/>
    </xf>
    <xf numFmtId="0" fontId="25" fillId="0" borderId="15" xfId="0" applyFont="1" applyBorder="1" applyProtection="1">
      <protection hidden="1"/>
    </xf>
    <xf numFmtId="0" fontId="25" fillId="0" borderId="17" xfId="0" applyFont="1" applyBorder="1" applyProtection="1">
      <protection hidden="1"/>
    </xf>
    <xf numFmtId="0" fontId="21" fillId="0" borderId="11" xfId="0" applyFont="1" applyBorder="1" applyAlignment="1" applyProtection="1">
      <alignment horizontal="center"/>
      <protection hidden="1"/>
    </xf>
    <xf numFmtId="0" fontId="21" fillId="0" borderId="12" xfId="0" applyFont="1" applyBorder="1" applyAlignment="1" applyProtection="1">
      <alignment horizontal="center"/>
      <protection hidden="1"/>
    </xf>
    <xf numFmtId="0" fontId="21" fillId="0" borderId="13" xfId="0" applyFont="1" applyBorder="1" applyAlignment="1" applyProtection="1">
      <alignment horizontal="center"/>
      <protection hidden="1"/>
    </xf>
    <xf numFmtId="1" fontId="27" fillId="10" borderId="37" xfId="0" applyNumberFormat="1" applyFont="1" applyFill="1" applyBorder="1" applyAlignment="1" applyProtection="1">
      <alignment horizontal="center" vertical="center"/>
      <protection hidden="1"/>
    </xf>
    <xf numFmtId="1" fontId="27" fillId="10" borderId="38" xfId="0" applyNumberFormat="1" applyFont="1" applyFill="1" applyBorder="1" applyAlignment="1" applyProtection="1">
      <alignment horizontal="center" vertical="center"/>
      <protection hidden="1"/>
    </xf>
    <xf numFmtId="1" fontId="26" fillId="0" borderId="48" xfId="0" applyNumberFormat="1" applyFont="1" applyBorder="1" applyAlignment="1" applyProtection="1">
      <alignment horizontal="center" vertical="center"/>
      <protection hidden="1"/>
    </xf>
    <xf numFmtId="1" fontId="26" fillId="0" borderId="49" xfId="0" applyNumberFormat="1" applyFont="1" applyBorder="1" applyAlignment="1" applyProtection="1">
      <alignment horizontal="center" vertical="center"/>
      <protection hidden="1"/>
    </xf>
    <xf numFmtId="0" fontId="28" fillId="12" borderId="11" xfId="0" applyFont="1" applyFill="1" applyBorder="1" applyAlignment="1" applyProtection="1">
      <alignment horizontal="center" vertical="center"/>
      <protection hidden="1"/>
    </xf>
    <xf numFmtId="0" fontId="28" fillId="12" borderId="13" xfId="0" applyFont="1" applyFill="1" applyBorder="1" applyAlignment="1" applyProtection="1">
      <alignment horizontal="center" vertical="center"/>
      <protection hidden="1"/>
    </xf>
    <xf numFmtId="0" fontId="28" fillId="12" borderId="37" xfId="0" applyFont="1" applyFill="1" applyBorder="1" applyAlignment="1" applyProtection="1">
      <alignment horizontal="center" vertical="center"/>
      <protection hidden="1"/>
    </xf>
    <xf numFmtId="0" fontId="28" fillId="12" borderId="38" xfId="0" applyFont="1" applyFill="1" applyBorder="1" applyAlignment="1" applyProtection="1">
      <alignment horizontal="center" vertical="center"/>
      <protection hidden="1"/>
    </xf>
    <xf numFmtId="0" fontId="28" fillId="12" borderId="28" xfId="0" applyFont="1" applyFill="1" applyBorder="1" applyAlignment="1" applyProtection="1">
      <alignment vertical="center"/>
      <protection hidden="1"/>
    </xf>
    <xf numFmtId="0" fontId="28" fillId="12" borderId="45" xfId="0" applyFont="1" applyFill="1" applyBorder="1" applyAlignment="1" applyProtection="1">
      <alignment vertical="center"/>
      <protection hidden="1"/>
    </xf>
    <xf numFmtId="0" fontId="28" fillId="12" borderId="30" xfId="0" applyFont="1" applyFill="1" applyBorder="1" applyAlignment="1" applyProtection="1">
      <alignment vertical="center"/>
      <protection hidden="1"/>
    </xf>
    <xf numFmtId="0" fontId="28" fillId="12" borderId="50" xfId="0" applyFont="1" applyFill="1" applyBorder="1" applyAlignment="1" applyProtection="1">
      <alignment vertical="center"/>
      <protection hidden="1"/>
    </xf>
    <xf numFmtId="0" fontId="28" fillId="12" borderId="30" xfId="0" applyFont="1" applyFill="1" applyBorder="1" applyAlignment="1" applyProtection="1">
      <alignment vertical="center" wrapText="1"/>
      <protection hidden="1"/>
    </xf>
    <xf numFmtId="0" fontId="28" fillId="12" borderId="50" xfId="0" applyFont="1" applyFill="1" applyBorder="1" applyAlignment="1" applyProtection="1">
      <alignment vertical="center" wrapText="1"/>
      <protection hidden="1"/>
    </xf>
    <xf numFmtId="0" fontId="28" fillId="12" borderId="32" xfId="0" applyFont="1" applyFill="1" applyBorder="1" applyAlignment="1" applyProtection="1">
      <alignment vertical="center"/>
      <protection hidden="1"/>
    </xf>
    <xf numFmtId="0" fontId="28" fillId="12" borderId="51" xfId="0" applyFont="1" applyFill="1" applyBorder="1" applyAlignment="1" applyProtection="1">
      <alignment vertical="center"/>
      <protection hidden="1"/>
    </xf>
    <xf numFmtId="0" fontId="26" fillId="0" borderId="28" xfId="0" applyFont="1" applyBorder="1" applyAlignment="1" applyProtection="1">
      <alignment horizontal="left" vertical="center" wrapText="1" indent="1"/>
      <protection locked="0"/>
    </xf>
    <xf numFmtId="0" fontId="26" fillId="0" borderId="39" xfId="0" applyFont="1" applyBorder="1" applyAlignment="1" applyProtection="1">
      <alignment horizontal="left" vertical="center" wrapText="1" indent="1"/>
      <protection locked="0"/>
    </xf>
    <xf numFmtId="0" fontId="26" fillId="0" borderId="29" xfId="0" applyFont="1" applyBorder="1" applyAlignment="1" applyProtection="1">
      <alignment horizontal="left" vertical="center" wrapText="1" indent="1"/>
      <protection locked="0"/>
    </xf>
    <xf numFmtId="0" fontId="26" fillId="0" borderId="30" xfId="0" applyFont="1" applyBorder="1" applyAlignment="1" applyProtection="1">
      <alignment horizontal="left" vertical="center" wrapText="1" indent="1"/>
      <protection locked="0"/>
    </xf>
    <xf numFmtId="0" fontId="26" fillId="0" borderId="27" xfId="0" applyFont="1" applyBorder="1" applyAlignment="1" applyProtection="1">
      <alignment horizontal="left" vertical="center" wrapText="1" indent="1"/>
      <protection locked="0"/>
    </xf>
    <xf numFmtId="0" fontId="26" fillId="0" borderId="31" xfId="0" applyFont="1" applyBorder="1" applyAlignment="1" applyProtection="1">
      <alignment horizontal="left" vertical="center" wrapText="1" indent="1"/>
      <protection locked="0"/>
    </xf>
    <xf numFmtId="165" fontId="26" fillId="0" borderId="30" xfId="0" applyNumberFormat="1" applyFont="1" applyBorder="1" applyAlignment="1" applyProtection="1">
      <alignment horizontal="left" vertical="center" wrapText="1" indent="1"/>
      <protection locked="0"/>
    </xf>
    <xf numFmtId="165" fontId="26" fillId="0" borderId="27" xfId="0" applyNumberFormat="1" applyFont="1" applyBorder="1" applyAlignment="1" applyProtection="1">
      <alignment horizontal="left" vertical="center" wrapText="1" indent="1"/>
      <protection locked="0"/>
    </xf>
    <xf numFmtId="165" fontId="26" fillId="0" borderId="31" xfId="0" applyNumberFormat="1" applyFont="1" applyBorder="1" applyAlignment="1" applyProtection="1">
      <alignment horizontal="left" vertical="center" wrapText="1" indent="1"/>
      <protection locked="0"/>
    </xf>
    <xf numFmtId="165" fontId="26" fillId="0" borderId="30" xfId="0" applyNumberFormat="1" applyFont="1" applyBorder="1" applyAlignment="1" applyProtection="1">
      <alignment horizontal="left" vertical="center" wrapText="1" indent="1"/>
      <protection hidden="1"/>
    </xf>
    <xf numFmtId="165" fontId="26" fillId="0" borderId="27" xfId="0" applyNumberFormat="1" applyFont="1" applyBorder="1" applyAlignment="1" applyProtection="1">
      <alignment horizontal="left" vertical="center" wrapText="1" indent="1"/>
      <protection hidden="1"/>
    </xf>
    <xf numFmtId="165" fontId="26" fillId="0" borderId="31" xfId="0" applyNumberFormat="1" applyFont="1" applyBorder="1" applyAlignment="1" applyProtection="1">
      <alignment horizontal="left" vertical="center" wrapText="1" indent="1"/>
      <protection hidden="1"/>
    </xf>
    <xf numFmtId="0" fontId="26" fillId="0" borderId="30" xfId="0" applyFont="1" applyBorder="1" applyAlignment="1" applyProtection="1">
      <alignment horizontal="left" vertical="center" wrapText="1" indent="1"/>
      <protection hidden="1"/>
    </xf>
    <xf numFmtId="0" fontId="26" fillId="0" borderId="27" xfId="0" applyFont="1" applyBorder="1" applyAlignment="1" applyProtection="1">
      <alignment horizontal="left" vertical="center" wrapText="1" indent="1"/>
      <protection hidden="1"/>
    </xf>
    <xf numFmtId="0" fontId="26" fillId="0" borderId="31" xfId="0" applyFont="1" applyBorder="1" applyAlignment="1" applyProtection="1">
      <alignment horizontal="left" vertical="center" wrapText="1" indent="1"/>
      <protection hidden="1"/>
    </xf>
    <xf numFmtId="0" fontId="26" fillId="0" borderId="32" xfId="0" applyFont="1" applyBorder="1" applyAlignment="1" applyProtection="1">
      <alignment horizontal="left" vertical="center" wrapText="1" indent="1"/>
      <protection locked="0"/>
    </xf>
    <xf numFmtId="0" fontId="26" fillId="0" borderId="53" xfId="0" applyFont="1" applyBorder="1" applyAlignment="1" applyProtection="1">
      <alignment horizontal="left" vertical="center" wrapText="1" indent="1"/>
      <protection locked="0"/>
    </xf>
    <xf numFmtId="0" fontId="26" fillId="0" borderId="33" xfId="0" applyFont="1" applyBorder="1" applyAlignment="1" applyProtection="1">
      <alignment horizontal="left" vertical="center" wrapText="1" indent="1"/>
      <protection locked="0"/>
    </xf>
    <xf numFmtId="0" fontId="18" fillId="0" borderId="11"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2" fillId="0" borderId="8" xfId="0" applyFont="1" applyBorder="1"/>
    <xf numFmtId="0" fontId="2" fillId="0" borderId="10" xfId="0" applyFont="1" applyBorder="1"/>
    <xf numFmtId="0" fontId="9" fillId="0" borderId="11" xfId="0" applyFont="1" applyBorder="1"/>
    <xf numFmtId="0" fontId="9" fillId="0" borderId="12" xfId="0" applyFont="1" applyBorder="1"/>
    <xf numFmtId="0" fontId="9" fillId="0" borderId="13" xfId="0" applyFont="1" applyBorder="1"/>
    <xf numFmtId="0" fontId="11" fillId="0" borderId="11" xfId="0" applyFont="1" applyBorder="1"/>
    <xf numFmtId="0" fontId="11" fillId="0" borderId="12" xfId="0" applyFont="1" applyBorder="1"/>
    <xf numFmtId="0" fontId="11" fillId="0" borderId="13" xfId="0" applyFont="1" applyBorder="1"/>
    <xf numFmtId="0" fontId="2" fillId="0" borderId="4" xfId="0" applyFont="1" applyBorder="1" applyAlignment="1">
      <alignment vertical="top"/>
    </xf>
    <xf numFmtId="0" fontId="2" fillId="0" borderId="6" xfId="0" applyFont="1" applyBorder="1" applyAlignment="1">
      <alignment vertical="top"/>
    </xf>
    <xf numFmtId="0" fontId="2" fillId="0" borderId="14" xfId="0" applyFont="1" applyBorder="1"/>
    <xf numFmtId="0" fontId="11" fillId="0" borderId="11" xfId="0" applyFont="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2" fillId="0" borderId="11" xfId="0" applyFont="1" applyBorder="1"/>
    <xf numFmtId="0" fontId="2" fillId="0" borderId="13" xfId="0" applyFont="1" applyBorder="1"/>
    <xf numFmtId="0" fontId="2" fillId="0" borderId="4" xfId="0" applyFont="1" applyBorder="1"/>
    <xf numFmtId="0" fontId="2" fillId="0" borderId="6" xfId="0" applyFont="1" applyBorder="1"/>
    <xf numFmtId="0" fontId="2" fillId="4" borderId="11" xfId="0" applyFont="1" applyFill="1" applyBorder="1"/>
    <xf numFmtId="0" fontId="2" fillId="4" borderId="12" xfId="0" applyFont="1" applyFill="1" applyBorder="1"/>
    <xf numFmtId="0" fontId="2" fillId="4" borderId="13" xfId="0" applyFont="1" applyFill="1" applyBorder="1"/>
    <xf numFmtId="0" fontId="5" fillId="0" borderId="11" xfId="0" applyFont="1" applyBorder="1"/>
    <xf numFmtId="0" fontId="5" fillId="0" borderId="12" xfId="0" applyFont="1" applyBorder="1"/>
    <xf numFmtId="0" fontId="5" fillId="0" borderId="13" xfId="0" applyFont="1" applyBorder="1"/>
    <xf numFmtId="0" fontId="2" fillId="0" borderId="5" xfId="0" applyFont="1" applyBorder="1"/>
    <xf numFmtId="0" fontId="2" fillId="0" borderId="0" xfId="0" applyFont="1"/>
    <xf numFmtId="0" fontId="2" fillId="0" borderId="18" xfId="0" applyFont="1" applyBorder="1"/>
  </cellXfs>
  <cellStyles count="1">
    <cellStyle name="Normal" xfId="0" builtinId="0"/>
  </cellStyles>
  <dxfs count="78">
    <dxf>
      <fill>
        <patternFill>
          <bgColor theme="4" tint="0.39994506668294322"/>
        </patternFill>
      </fill>
    </dxf>
    <dxf>
      <fill>
        <patternFill>
          <bgColor rgb="FF00B0F0"/>
        </patternFill>
      </fill>
    </dxf>
    <dxf>
      <fill>
        <patternFill>
          <bgColor rgb="FFFF0000"/>
        </patternFill>
      </fill>
    </dxf>
    <dxf>
      <fill>
        <patternFill>
          <bgColor rgb="FF92D050"/>
        </patternFill>
      </fill>
    </dxf>
    <dxf>
      <fill>
        <patternFill patternType="none">
          <bgColor auto="1"/>
        </patternFill>
      </fill>
    </dxf>
    <dxf>
      <fill>
        <patternFill>
          <bgColor rgb="FF00B0F0"/>
        </patternFill>
      </fill>
    </dxf>
    <dxf>
      <fill>
        <patternFill>
          <bgColor rgb="FFFF0000"/>
        </patternFill>
      </fill>
    </dxf>
    <dxf>
      <fill>
        <patternFill>
          <bgColor rgb="FF92D050"/>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patternType="none">
          <bgColor auto="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patternType="none">
          <bgColor auto="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patternType="none">
          <bgColor auto="1"/>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patternType="none">
          <bgColor auto="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patternType="none">
          <bgColor auto="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9" tint="0.39994506668294322"/>
        </patternFill>
      </fill>
    </dxf>
    <dxf>
      <fill>
        <patternFill>
          <bgColor theme="4" tint="0.39994506668294322"/>
        </patternFill>
      </fill>
    </dxf>
    <dxf>
      <fill>
        <patternFill>
          <bgColor theme="0" tint="-0.24994659260841701"/>
        </patternFill>
      </fill>
    </dxf>
    <dxf>
      <fill>
        <patternFill>
          <bgColor theme="0" tint="-0.24994659260841701"/>
        </patternFill>
      </fill>
    </dxf>
    <dxf>
      <fill>
        <patternFill>
          <bgColor theme="9" tint="0.39994506668294322"/>
        </patternFill>
      </fill>
    </dxf>
    <dxf>
      <fill>
        <patternFill>
          <bgColor theme="4"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4AD7-4B78-9BDF-AD852FE047B3}"/>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4AD7-4B78-9BDF-AD852FE047B3}"/>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4AD7-4B78-9BDF-AD852FE047B3}"/>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4AD7-4B78-9BDF-AD852FE047B3}"/>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(Calculator!$J$54,Calculator!$J$56,Calculator!$J$58,Calculator!$J$60)</c:f>
              <c:numCache>
                <c:formatCode>0.0</c:formatCode>
                <c:ptCount val="4"/>
                <c:pt idx="0">
                  <c:v>#N/A</c:v>
                </c:pt>
                <c:pt idx="1">
                  <c:v>#N/A</c:v>
                </c:pt>
                <c:pt idx="2">
                  <c:v>0</c:v>
                </c:pt>
                <c:pt idx="3">
                  <c:v>#N/A</c:v>
                </c:pt>
              </c:numCache>
            </c:numRef>
          </c:val>
          <c:extLst>
            <c:ext xmlns:c16="http://schemas.microsoft.com/office/drawing/2014/chart" uri="{C3380CC4-5D6E-409C-BE32-E72D297353CC}">
              <c16:uniqueId val="{00000007-ABAB-41C3-B820-579592208583}"/>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solidFill>
            <a:ln>
              <a:noFill/>
            </a:ln>
            <a:effectLst/>
          </c:spPr>
          <c:invertIfNegative val="0"/>
          <c:cat>
            <c:strRef>
              <c:f>(Calculator!$Y$76,Calculator!$V$77:$V$81,Calculator!$Y$82)</c:f>
              <c:strCache>
                <c:ptCount val="7"/>
                <c:pt idx="0">
                  <c:v>Modified Fen</c:v>
                </c:pt>
                <c:pt idx="1">
                  <c:v>Year 1</c:v>
                </c:pt>
                <c:pt idx="2">
                  <c:v>Year 2</c:v>
                </c:pt>
                <c:pt idx="3">
                  <c:v>Year 3</c:v>
                </c:pt>
                <c:pt idx="4">
                  <c:v>Year 4</c:v>
                </c:pt>
                <c:pt idx="5">
                  <c:v>Year 5</c:v>
                </c:pt>
                <c:pt idx="6">
                  <c:v>Near-natural Fen</c:v>
                </c:pt>
              </c:strCache>
            </c:strRef>
          </c:cat>
          <c:val>
            <c:numRef>
              <c:f>(Calculator!$Z$76,Calculator!$W$77:$W$81,Calculator!$Z$82)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457-4FB1-B05B-C8C2AA55BDF0}"/>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056-45A7-B08A-2EC4AC39B9CE}"/>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8056-45A7-B08A-2EC4AC39B9CE}"/>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8056-45A7-B08A-2EC4AC39B9CE}"/>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056-45A7-B08A-2EC4AC39B9CE}"/>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(Calculator!$AP$54,Calculator!$AP$56,Calculator!$AP$58,Calculator!$AP$60)</c:f>
              <c:numCache>
                <c:formatCode>0.0</c:formatCode>
                <c:ptCount val="4"/>
                <c:pt idx="0">
                  <c:v>-9.8340000000000014</c:v>
                </c:pt>
                <c:pt idx="1">
                  <c:v>1.1808007611331592</c:v>
                </c:pt>
                <c:pt idx="2">
                  <c:v>-6.7794571428571437</c:v>
                </c:pt>
                <c:pt idx="3">
                  <c:v>-15.432656381723984</c:v>
                </c:pt>
              </c:numCache>
            </c:numRef>
          </c:val>
          <c:extLst>
            <c:ext xmlns:c16="http://schemas.microsoft.com/office/drawing/2014/chart" uri="{C3380CC4-5D6E-409C-BE32-E72D297353CC}">
              <c16:uniqueId val="{00000008-8056-45A7-B08A-2EC4AC39B9CE}"/>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4EC0-4428-ABCB-ECF23E6BBCE7}"/>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4EC0-4428-ABCB-ECF23E6BBCE7}"/>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4EC0-4428-ABCB-ECF23E6BBCE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4EC0-4428-ABCB-ECF23E6BBCE7}"/>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(Calculator!$AP$30,Calculator!$AP$32,Calculator!$AP$34,Calculator!$AP$36)</c:f>
              <c:numCache>
                <c:formatCode>0.0</c:formatCode>
                <c:ptCount val="4"/>
                <c:pt idx="0">
                  <c:v>13.324666666666667</c:v>
                </c:pt>
                <c:pt idx="1">
                  <c:v>4.5432721619096346E-2</c:v>
                </c:pt>
                <c:pt idx="2">
                  <c:v>6.7794571428571437</c:v>
                </c:pt>
                <c:pt idx="3">
                  <c:v>20.149556531142906</c:v>
                </c:pt>
              </c:numCache>
            </c:numRef>
          </c:val>
          <c:extLst>
            <c:ext xmlns:c16="http://schemas.microsoft.com/office/drawing/2014/chart" uri="{C3380CC4-5D6E-409C-BE32-E72D297353CC}">
              <c16:uniqueId val="{00000008-4EC0-4428-ABCB-ECF23E6BBCE7}"/>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B34-40F3-8955-D3D183DD06BC}"/>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8B34-40F3-8955-D3D183DD06BC}"/>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8B34-40F3-8955-D3D183DD06BC}"/>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B34-40F3-8955-D3D183DD06BC}"/>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(Calculator!$AP$42,Calculator!$AP$44,Calculator!$AP$46,Calculator!$AP$48)</c:f>
              <c:numCache>
                <c:formatCode>0.0</c:formatCode>
                <c:ptCount val="4"/>
                <c:pt idx="0">
                  <c:v>3.4906666666666664</c:v>
                </c:pt>
                <c:pt idx="1">
                  <c:v>1.2262334827522556</c:v>
                </c:pt>
                <c:pt idx="2">
                  <c:v>0</c:v>
                </c:pt>
                <c:pt idx="3">
                  <c:v>4.7169001494189224</c:v>
                </c:pt>
              </c:numCache>
            </c:numRef>
          </c:val>
          <c:extLst>
            <c:ext xmlns:c16="http://schemas.microsoft.com/office/drawing/2014/chart" uri="{C3380CC4-5D6E-409C-BE32-E72D297353CC}">
              <c16:uniqueId val="{00000008-8B34-40F3-8955-D3D183DD06BC}"/>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4B21-4627-8743-5C8588C19DAE}"/>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4B21-4627-8743-5C8588C19DAE}"/>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4B21-4627-8743-5C8588C19DAE}"/>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4B21-4627-8743-5C8588C19DAE}"/>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(Calculator!$BC$30,Calculator!$BC$32,Calculator!$BC$34,Calculator!$BC$36)</c:f>
              <c:numCache>
                <c:formatCode>0.0</c:formatCode>
                <c:ptCount val="4"/>
                <c:pt idx="0">
                  <c:v>133.24666666666667</c:v>
                </c:pt>
                <c:pt idx="1">
                  <c:v>0.45432721619096345</c:v>
                </c:pt>
                <c:pt idx="2">
                  <c:v>67.79457142857143</c:v>
                </c:pt>
                <c:pt idx="3">
                  <c:v>201.49556531142906</c:v>
                </c:pt>
              </c:numCache>
            </c:numRef>
          </c:val>
          <c:extLst>
            <c:ext xmlns:c16="http://schemas.microsoft.com/office/drawing/2014/chart" uri="{C3380CC4-5D6E-409C-BE32-E72D297353CC}">
              <c16:uniqueId val="{00000008-4B21-4627-8743-5C8588C19DAE}"/>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6E4C-4D5C-A013-13F7F5A98B2B}"/>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6E4C-4D5C-A013-13F7F5A98B2B}"/>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6E4C-4D5C-A013-13F7F5A98B2B}"/>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6E4C-4D5C-A013-13F7F5A98B2B}"/>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(Calculator!$BC$42,Calculator!$BC$44,Calculator!$BC$46,Calculator!$BC$48)</c:f>
              <c:numCache>
                <c:formatCode>0.0</c:formatCode>
                <c:ptCount val="4"/>
                <c:pt idx="0">
                  <c:v>34.906666666666666</c:v>
                </c:pt>
                <c:pt idx="1">
                  <c:v>12.262334827522556</c:v>
                </c:pt>
                <c:pt idx="2">
                  <c:v>0</c:v>
                </c:pt>
                <c:pt idx="3">
                  <c:v>47.169001494189224</c:v>
                </c:pt>
              </c:numCache>
            </c:numRef>
          </c:val>
          <c:extLst>
            <c:ext xmlns:c16="http://schemas.microsoft.com/office/drawing/2014/chart" uri="{C3380CC4-5D6E-409C-BE32-E72D297353CC}">
              <c16:uniqueId val="{00000008-6E4C-4D5C-A013-13F7F5A98B2B}"/>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03C6-44AE-944D-50C1B829C642}"/>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03C6-44AE-944D-50C1B829C642}"/>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03C6-44AE-944D-50C1B829C642}"/>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03C6-44AE-944D-50C1B829C642}"/>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(Calculator!$BC$54,Calculator!$BC$56,Calculator!$BC$58,Calculator!$BC$60)</c:f>
              <c:numCache>
                <c:formatCode>0.0</c:formatCode>
                <c:ptCount val="4"/>
                <c:pt idx="0">
                  <c:v>-98.34</c:v>
                </c:pt>
                <c:pt idx="1">
                  <c:v>11.808007611331593</c:v>
                </c:pt>
                <c:pt idx="2">
                  <c:v>-67.79457142857143</c:v>
                </c:pt>
                <c:pt idx="3">
                  <c:v>-154.32656381723984</c:v>
                </c:pt>
              </c:numCache>
            </c:numRef>
          </c:val>
          <c:extLst>
            <c:ext xmlns:c16="http://schemas.microsoft.com/office/drawing/2014/chart" uri="{C3380CC4-5D6E-409C-BE32-E72D297353CC}">
              <c16:uniqueId val="{00000008-03C6-44AE-944D-50C1B829C642}"/>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(Calculator!$AS$67,Calculator!$AO$68:$AO$72,Calculator!$AS$73)</c:f>
              <c:strCache>
                <c:ptCount val="7"/>
                <c:pt idx="0">
                  <c:v>Cropland</c:v>
                </c:pt>
                <c:pt idx="1">
                  <c:v>Year 1</c:v>
                </c:pt>
                <c:pt idx="2">
                  <c:v>Year 2</c:v>
                </c:pt>
                <c:pt idx="3">
                  <c:v>Year 3</c:v>
                </c:pt>
                <c:pt idx="4">
                  <c:v>Year 4</c:v>
                </c:pt>
                <c:pt idx="5">
                  <c:v>Year 5</c:v>
                </c:pt>
                <c:pt idx="6">
                  <c:v>Re-wetted Fen</c:v>
                </c:pt>
              </c:strCache>
            </c:strRef>
          </c:cat>
          <c:val>
            <c:numRef>
              <c:f>(Calculator!$AT$67,Calculator!$AP$68:$AP$72,Calculator!$AT$73)</c:f>
              <c:numCache>
                <c:formatCode>0.0</c:formatCode>
                <c:ptCount val="7"/>
                <c:pt idx="0">
                  <c:v>6.7794571428571437</c:v>
                </c:pt>
                <c:pt idx="1">
                  <c:v>5.6495476190476195</c:v>
                </c:pt>
                <c:pt idx="2">
                  <c:v>4.5196380952380952</c:v>
                </c:pt>
                <c:pt idx="3">
                  <c:v>3.389728571428571</c:v>
                </c:pt>
                <c:pt idx="4">
                  <c:v>2.2598190476190467</c:v>
                </c:pt>
                <c:pt idx="5">
                  <c:v>1.1299095238095227</c:v>
                </c:pt>
                <c:pt idx="6">
                  <c:v>0</c:v>
                </c:pt>
              </c:numCache>
            </c:numRef>
          </c:val>
          <c:extLst>
            <c:ext xmlns:c16="http://schemas.microsoft.com/office/drawing/2014/chart" uri="{C3380CC4-5D6E-409C-BE32-E72D297353CC}">
              <c16:uniqueId val="{00000004-DE9D-447F-B017-D08CB7D0D2E2}"/>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(Calculator!$AS$75,Calculator!$AO$77:$AO$81,Calculator!$AS$82)</c:f>
              <c:strCache>
                <c:ptCount val="7"/>
                <c:pt idx="0">
                  <c:v>Cropland</c:v>
                </c:pt>
                <c:pt idx="1">
                  <c:v>Year 1</c:v>
                </c:pt>
                <c:pt idx="2">
                  <c:v>Year 2</c:v>
                </c:pt>
                <c:pt idx="3">
                  <c:v>Year 3</c:v>
                </c:pt>
                <c:pt idx="4">
                  <c:v>Year 4</c:v>
                </c:pt>
                <c:pt idx="5">
                  <c:v>Year 5</c:v>
                </c:pt>
                <c:pt idx="6">
                  <c:v>Re-wetted Fen</c:v>
                </c:pt>
              </c:strCache>
            </c:strRef>
          </c:cat>
          <c:val>
            <c:numRef>
              <c:f>(Calculator!$AT$75,Calculator!$AP$77:$AP$81,Calculator!$AT$82)</c:f>
              <c:numCache>
                <c:formatCode>0.0</c:formatCode>
                <c:ptCount val="7"/>
                <c:pt idx="0">
                  <c:v>20.149556531142906</c:v>
                </c:pt>
                <c:pt idx="1">
                  <c:v>10.366447768466543</c:v>
                </c:pt>
                <c:pt idx="2">
                  <c:v>9.2365382446570177</c:v>
                </c:pt>
                <c:pt idx="3">
                  <c:v>8.1066287208474925</c:v>
                </c:pt>
                <c:pt idx="4">
                  <c:v>6.9767191970379692</c:v>
                </c:pt>
                <c:pt idx="5">
                  <c:v>5.8468096732284449</c:v>
                </c:pt>
                <c:pt idx="6">
                  <c:v>4.7169001494189224</c:v>
                </c:pt>
              </c:numCache>
            </c:numRef>
          </c:val>
          <c:extLst>
            <c:ext xmlns:c16="http://schemas.microsoft.com/office/drawing/2014/chart" uri="{C3380CC4-5D6E-409C-BE32-E72D297353CC}">
              <c16:uniqueId val="{00000004-0C2E-4C11-A8C4-A50681C6DFC2}"/>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(Calculator!$BE$67,Calculator!$BB$68:$BB$72,Calculator!$BE$73)</c:f>
              <c:strCache>
                <c:ptCount val="7"/>
                <c:pt idx="0">
                  <c:v>Cropland</c:v>
                </c:pt>
                <c:pt idx="1">
                  <c:v>Year 1</c:v>
                </c:pt>
                <c:pt idx="2">
                  <c:v>Year 2</c:v>
                </c:pt>
                <c:pt idx="3">
                  <c:v>Year 3</c:v>
                </c:pt>
                <c:pt idx="4">
                  <c:v>Year 4</c:v>
                </c:pt>
                <c:pt idx="5">
                  <c:v>Year 5</c:v>
                </c:pt>
                <c:pt idx="6">
                  <c:v>Re-wetted Fen</c:v>
                </c:pt>
              </c:strCache>
            </c:strRef>
          </c:cat>
          <c:val>
            <c:numRef>
              <c:f>(Calculator!$BF$67,Calculator!$BC$68:$BC$72,Calculator!$BF$73)</c:f>
              <c:numCache>
                <c:formatCode>0.0</c:formatCode>
                <c:ptCount val="7"/>
                <c:pt idx="0">
                  <c:v>67.79457142857143</c:v>
                </c:pt>
                <c:pt idx="1">
                  <c:v>56.495476190476197</c:v>
                </c:pt>
                <c:pt idx="2">
                  <c:v>45.196380952380949</c:v>
                </c:pt>
                <c:pt idx="3">
                  <c:v>33.897285714285708</c:v>
                </c:pt>
                <c:pt idx="4">
                  <c:v>22.598190476190467</c:v>
                </c:pt>
                <c:pt idx="5">
                  <c:v>11.299095238095227</c:v>
                </c:pt>
                <c:pt idx="6">
                  <c:v>0</c:v>
                </c:pt>
              </c:numCache>
            </c:numRef>
          </c:val>
          <c:extLst>
            <c:ext xmlns:c16="http://schemas.microsoft.com/office/drawing/2014/chart" uri="{C3380CC4-5D6E-409C-BE32-E72D297353CC}">
              <c16:uniqueId val="{00000004-E060-4B5E-89C5-4DCFC33A74FC}"/>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58D1-49DB-A52B-3FC0AC2DE3AC}"/>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58D1-49DB-A52B-3FC0AC2DE3AC}"/>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58D1-49DB-A52B-3FC0AC2DE3AC}"/>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8D1-49DB-A52B-3FC0AC2DE3AC}"/>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(Calculator!$J$30,Calculator!$J$32,Calculator!$J$34,Calculator!$J$36)</c:f>
              <c:numCache>
                <c:formatCode>0.0</c:formatCode>
                <c:ptCount val="4"/>
                <c:pt idx="0">
                  <c:v>13.324666666666667</c:v>
                </c:pt>
                <c:pt idx="1">
                  <c:v>2.200018819215014E-2</c:v>
                </c:pt>
                <c:pt idx="2">
                  <c:v>0</c:v>
                </c:pt>
                <c:pt idx="3">
                  <c:v>13.346666854858817</c:v>
                </c:pt>
              </c:numCache>
            </c:numRef>
          </c:val>
          <c:extLst>
            <c:ext xmlns:c16="http://schemas.microsoft.com/office/drawing/2014/chart" uri="{C3380CC4-5D6E-409C-BE32-E72D297353CC}">
              <c16:uniqueId val="{00000008-58D1-49DB-A52B-3FC0AC2DE3AC}"/>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(Calculator!$BE$76,Calculator!$BB$77:$BB$81,Calculator!$BE$82)</c:f>
              <c:strCache>
                <c:ptCount val="7"/>
                <c:pt idx="0">
                  <c:v>Cropland</c:v>
                </c:pt>
                <c:pt idx="1">
                  <c:v>Year 1</c:v>
                </c:pt>
                <c:pt idx="2">
                  <c:v>Year 2</c:v>
                </c:pt>
                <c:pt idx="3">
                  <c:v>Year 3</c:v>
                </c:pt>
                <c:pt idx="4">
                  <c:v>Year 4</c:v>
                </c:pt>
                <c:pt idx="5">
                  <c:v>Year 5</c:v>
                </c:pt>
                <c:pt idx="6">
                  <c:v>Re-wetted Fen</c:v>
                </c:pt>
              </c:strCache>
            </c:strRef>
          </c:cat>
          <c:val>
            <c:numRef>
              <c:f>(Calculator!$BF$76,Calculator!$BC$77:$BC$81,Calculator!$BF$82)</c:f>
              <c:numCache>
                <c:formatCode>0.0</c:formatCode>
                <c:ptCount val="7"/>
                <c:pt idx="0">
                  <c:v>201.49556531142906</c:v>
                </c:pt>
                <c:pt idx="1">
                  <c:v>103.66447768466543</c:v>
                </c:pt>
                <c:pt idx="2">
                  <c:v>92.36538244657018</c:v>
                </c:pt>
                <c:pt idx="3">
                  <c:v>81.066287208474932</c:v>
                </c:pt>
                <c:pt idx="4">
                  <c:v>69.767191970379685</c:v>
                </c:pt>
                <c:pt idx="5">
                  <c:v>58.468096732284451</c:v>
                </c:pt>
                <c:pt idx="6">
                  <c:v>47.169001494189224</c:v>
                </c:pt>
              </c:numCache>
            </c:numRef>
          </c:val>
          <c:extLst>
            <c:ext xmlns:c16="http://schemas.microsoft.com/office/drawing/2014/chart" uri="{C3380CC4-5D6E-409C-BE32-E72D297353CC}">
              <c16:uniqueId val="{00000004-49D9-4E60-B8F7-7E5FD0293078}"/>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9DE7-499A-8FED-4D9FF08DCAA2}"/>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9DE7-499A-8FED-4D9FF08DCAA2}"/>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9DE7-499A-8FED-4D9FF08DCAA2}"/>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9DE7-499A-8FED-4D9FF08DCAA2}"/>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(Calculator!$BV$54,Calculator!$BV$56,Calculator!$BV$58,Calculator!$BV$60)</c:f>
              <c:numCache>
                <c:formatCode>0.0</c:formatCode>
                <c:ptCount val="4"/>
                <c:pt idx="0">
                  <c:v>0</c:v>
                </c:pt>
                <c:pt idx="1">
                  <c:v>0</c:v>
                </c:pt>
                <c:pt idx="2">
                  <c:v>0</c:v>
                </c:pt>
                <c:pt idx="3">
                  <c:v>0</c:v>
                </c:pt>
              </c:numCache>
            </c:numRef>
          </c:val>
          <c:extLst>
            <c:ext xmlns:c16="http://schemas.microsoft.com/office/drawing/2014/chart" uri="{C3380CC4-5D6E-409C-BE32-E72D297353CC}">
              <c16:uniqueId val="{00000008-9DE7-499A-8FED-4D9FF08DCAA2}"/>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D2E6-4366-904D-BF6A494D47A1}"/>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D2E6-4366-904D-BF6A494D47A1}"/>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D2E6-4366-904D-BF6A494D47A1}"/>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D2E6-4366-904D-BF6A494D47A1}"/>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(Calculator!$BV$30,Calculator!$BV$32,Calculator!$BV$34,Calculator!$BV$36)</c:f>
              <c:numCache>
                <c:formatCode>0.0</c:formatCode>
                <c:ptCount val="4"/>
                <c:pt idx="0">
                  <c:v>0</c:v>
                </c:pt>
                <c:pt idx="1">
                  <c:v>0</c:v>
                </c:pt>
                <c:pt idx="2">
                  <c:v>0</c:v>
                </c:pt>
                <c:pt idx="3">
                  <c:v>0</c:v>
                </c:pt>
              </c:numCache>
            </c:numRef>
          </c:val>
          <c:extLst>
            <c:ext xmlns:c16="http://schemas.microsoft.com/office/drawing/2014/chart" uri="{C3380CC4-5D6E-409C-BE32-E72D297353CC}">
              <c16:uniqueId val="{00000008-D2E6-4366-904D-BF6A494D47A1}"/>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5663-4D61-8E00-8522A81A1FE8}"/>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5663-4D61-8E00-8522A81A1FE8}"/>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5663-4D61-8E00-8522A81A1FE8}"/>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663-4D61-8E00-8522A81A1FE8}"/>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(Calculator!$BV$42,Calculator!$BV$44,Calculator!$BV$46,Calculator!$BV$48)</c:f>
              <c:numCache>
                <c:formatCode>0.0</c:formatCode>
                <c:ptCount val="4"/>
                <c:pt idx="0">
                  <c:v>0</c:v>
                </c:pt>
                <c:pt idx="1">
                  <c:v>0</c:v>
                </c:pt>
                <c:pt idx="2">
                  <c:v>0</c:v>
                </c:pt>
                <c:pt idx="3">
                  <c:v>0</c:v>
                </c:pt>
              </c:numCache>
            </c:numRef>
          </c:val>
          <c:extLst>
            <c:ext xmlns:c16="http://schemas.microsoft.com/office/drawing/2014/chart" uri="{C3380CC4-5D6E-409C-BE32-E72D297353CC}">
              <c16:uniqueId val="{00000008-5663-4D61-8E00-8522A81A1FE8}"/>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A425-477C-B6CF-F201ED51DA76}"/>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A425-477C-B6CF-F201ED51DA76}"/>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A425-477C-B6CF-F201ED51DA76}"/>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A425-477C-B6CF-F201ED51DA76}"/>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(Calculator!$CI$30,Calculator!$CI$32,Calculator!$CI$34,Calculator!$CI$36)</c:f>
              <c:numCache>
                <c:formatCode>0.0</c:formatCode>
                <c:ptCount val="4"/>
                <c:pt idx="0">
                  <c:v>0</c:v>
                </c:pt>
                <c:pt idx="1">
                  <c:v>0</c:v>
                </c:pt>
                <c:pt idx="2">
                  <c:v>0</c:v>
                </c:pt>
                <c:pt idx="3">
                  <c:v>0</c:v>
                </c:pt>
              </c:numCache>
            </c:numRef>
          </c:val>
          <c:extLst>
            <c:ext xmlns:c16="http://schemas.microsoft.com/office/drawing/2014/chart" uri="{C3380CC4-5D6E-409C-BE32-E72D297353CC}">
              <c16:uniqueId val="{00000008-A425-477C-B6CF-F201ED51DA76}"/>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64-4CC5-9EE8-DF3AC6AC5FF6}"/>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FF64-4CC5-9EE8-DF3AC6AC5FF6}"/>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FF64-4CC5-9EE8-DF3AC6AC5FF6}"/>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F64-4CC5-9EE8-DF3AC6AC5FF6}"/>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(Calculator!$CI$42,Calculator!$CI$44,Calculator!$CI$46,Calculator!$CI$48)</c:f>
              <c:numCache>
                <c:formatCode>0.0</c:formatCode>
                <c:ptCount val="4"/>
                <c:pt idx="0">
                  <c:v>0</c:v>
                </c:pt>
                <c:pt idx="1">
                  <c:v>0</c:v>
                </c:pt>
                <c:pt idx="2">
                  <c:v>0</c:v>
                </c:pt>
                <c:pt idx="3">
                  <c:v>0</c:v>
                </c:pt>
              </c:numCache>
            </c:numRef>
          </c:val>
          <c:extLst>
            <c:ext xmlns:c16="http://schemas.microsoft.com/office/drawing/2014/chart" uri="{C3380CC4-5D6E-409C-BE32-E72D297353CC}">
              <c16:uniqueId val="{00000008-FF64-4CC5-9EE8-DF3AC6AC5FF6}"/>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2A0E-499E-8D04-A18AB5789BA3}"/>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2A0E-499E-8D04-A18AB5789BA3}"/>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2A0E-499E-8D04-A18AB5789BA3}"/>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2A0E-499E-8D04-A18AB5789BA3}"/>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(Calculator!$CI$54,Calculator!$CI$56,Calculator!$CI$58,Calculator!$CI$60)</c:f>
              <c:numCache>
                <c:formatCode>0.0</c:formatCode>
                <c:ptCount val="4"/>
                <c:pt idx="0">
                  <c:v>0</c:v>
                </c:pt>
                <c:pt idx="1">
                  <c:v>0</c:v>
                </c:pt>
                <c:pt idx="2">
                  <c:v>0</c:v>
                </c:pt>
                <c:pt idx="3">
                  <c:v>0</c:v>
                </c:pt>
              </c:numCache>
            </c:numRef>
          </c:val>
          <c:extLst>
            <c:ext xmlns:c16="http://schemas.microsoft.com/office/drawing/2014/chart" uri="{C3380CC4-5D6E-409C-BE32-E72D297353CC}">
              <c16:uniqueId val="{00000008-2A0E-499E-8D04-A18AB5789BA3}"/>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(Calculator!$BY$67,Calculator!$BU$68:$BU$72,Calculator!$BY$73)</c:f>
              <c:strCache>
                <c:ptCount val="7"/>
                <c:pt idx="0">
                  <c:v>0</c:v>
                </c:pt>
                <c:pt idx="1">
                  <c:v>Year 1</c:v>
                </c:pt>
                <c:pt idx="2">
                  <c:v>Year 2</c:v>
                </c:pt>
                <c:pt idx="3">
                  <c:v>Year 3</c:v>
                </c:pt>
                <c:pt idx="4">
                  <c:v>Year 4</c:v>
                </c:pt>
                <c:pt idx="5">
                  <c:v>Year 5</c:v>
                </c:pt>
                <c:pt idx="6">
                  <c:v>0</c:v>
                </c:pt>
              </c:strCache>
            </c:strRef>
          </c:cat>
          <c:val>
            <c:numRef>
              <c:f>(Calculator!$BZ$67,Calculator!$BV$68:$BV$72,Calculator!$BZ$73)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2B66-4DCA-84C4-3DCC4C5E6497}"/>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(Calculator!$BY$75,Calculator!$BU$77:$BU$81,Calculator!$BY$82)</c:f>
              <c:strCache>
                <c:ptCount val="7"/>
                <c:pt idx="0">
                  <c:v>0</c:v>
                </c:pt>
                <c:pt idx="1">
                  <c:v>Year 1</c:v>
                </c:pt>
                <c:pt idx="2">
                  <c:v>Year 2</c:v>
                </c:pt>
                <c:pt idx="3">
                  <c:v>Year 3</c:v>
                </c:pt>
                <c:pt idx="4">
                  <c:v>Year 4</c:v>
                </c:pt>
                <c:pt idx="5">
                  <c:v>Year 5</c:v>
                </c:pt>
                <c:pt idx="6">
                  <c:v>0</c:v>
                </c:pt>
              </c:strCache>
            </c:strRef>
          </c:cat>
          <c:val>
            <c:numRef>
              <c:f>(Calculator!$BZ$75,Calculator!$BV$77:$BV$81,Calculator!$BZ$82)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20B6-4405-B195-F229C2952D93}"/>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(Calculator!$CK$67,Calculator!$CH$68:$CH$72,Calculator!$CK$73)</c:f>
              <c:strCache>
                <c:ptCount val="7"/>
                <c:pt idx="0">
                  <c:v>0</c:v>
                </c:pt>
                <c:pt idx="1">
                  <c:v>Year 1</c:v>
                </c:pt>
                <c:pt idx="2">
                  <c:v>Year 2</c:v>
                </c:pt>
                <c:pt idx="3">
                  <c:v>Year 3</c:v>
                </c:pt>
                <c:pt idx="4">
                  <c:v>Year 4</c:v>
                </c:pt>
                <c:pt idx="5">
                  <c:v>Year 5</c:v>
                </c:pt>
                <c:pt idx="6">
                  <c:v>0</c:v>
                </c:pt>
              </c:strCache>
            </c:strRef>
          </c:cat>
          <c:val>
            <c:numRef>
              <c:f>(Calculator!$CL$67,Calculator!$CI$68:$CI$72,Calculator!$CL$73)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9E4B-48CE-9C7A-B5D01456DA54}"/>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7BB4-4EFC-9413-5F136F8BB1F8}"/>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BB4-4EFC-9413-5F136F8BB1F8}"/>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7BB4-4EFC-9413-5F136F8BB1F8}"/>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BB4-4EFC-9413-5F136F8BB1F8}"/>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(Calculator!$J$42,Calculator!$J$44,Calculator!$J$46,Calculator!$J$48)</c:f>
              <c:numCache>
                <c:formatCode>0.0</c:formatCode>
                <c:ptCount val="4"/>
                <c:pt idx="0">
                  <c:v>#N/A</c:v>
                </c:pt>
                <c:pt idx="1">
                  <c:v>#N/A</c:v>
                </c:pt>
                <c:pt idx="2">
                  <c:v>0</c:v>
                </c:pt>
                <c:pt idx="3">
                  <c:v>#N/A</c:v>
                </c:pt>
              </c:numCache>
            </c:numRef>
          </c:val>
          <c:extLst>
            <c:ext xmlns:c16="http://schemas.microsoft.com/office/drawing/2014/chart" uri="{C3380CC4-5D6E-409C-BE32-E72D297353CC}">
              <c16:uniqueId val="{00000008-7BB4-4EFC-9413-5F136F8BB1F8}"/>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(Calculator!$CK$76,Calculator!$CH$77:$CH$81,Calculator!$CK$82)</c:f>
              <c:strCache>
                <c:ptCount val="7"/>
                <c:pt idx="0">
                  <c:v>0</c:v>
                </c:pt>
                <c:pt idx="1">
                  <c:v>Year 1</c:v>
                </c:pt>
                <c:pt idx="2">
                  <c:v>Year 2</c:v>
                </c:pt>
                <c:pt idx="3">
                  <c:v>Year 3</c:v>
                </c:pt>
                <c:pt idx="4">
                  <c:v>Year 4</c:v>
                </c:pt>
                <c:pt idx="5">
                  <c:v>Year 5</c:v>
                </c:pt>
                <c:pt idx="6">
                  <c:v>0</c:v>
                </c:pt>
              </c:strCache>
            </c:strRef>
          </c:cat>
          <c:val>
            <c:numRef>
              <c:f>(Calculator!$CL$76,Calculator!$CI$77:$CI$81,Calculator!$CL$82)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A8C-481D-908F-7C0AEA62DC6A}"/>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26B8-4309-87E0-420C7733C5FB}"/>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26B8-4309-87E0-420C7733C5FB}"/>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26B8-4309-87E0-420C7733C5FB}"/>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26B8-4309-87E0-420C7733C5FB}"/>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(Calculator!$DB$54,Calculator!$DB$56,Calculator!$DB$58,Calculator!$DB$60)</c:f>
              <c:numCache>
                <c:formatCode>0.0</c:formatCode>
                <c:ptCount val="4"/>
                <c:pt idx="0">
                  <c:v>0</c:v>
                </c:pt>
                <c:pt idx="1">
                  <c:v>0</c:v>
                </c:pt>
                <c:pt idx="2">
                  <c:v>0</c:v>
                </c:pt>
                <c:pt idx="3">
                  <c:v>0</c:v>
                </c:pt>
              </c:numCache>
            </c:numRef>
          </c:val>
          <c:extLst>
            <c:ext xmlns:c16="http://schemas.microsoft.com/office/drawing/2014/chart" uri="{C3380CC4-5D6E-409C-BE32-E72D297353CC}">
              <c16:uniqueId val="{00000008-26B8-4309-87E0-420C7733C5FB}"/>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AAA0-4AC4-985D-5AD665A3FFC9}"/>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AAA0-4AC4-985D-5AD665A3FFC9}"/>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AAA0-4AC4-985D-5AD665A3FFC9}"/>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AAA0-4AC4-985D-5AD665A3FFC9}"/>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(Calculator!$DB$30,Calculator!$DB$32,Calculator!$DB$34,Calculator!$DB$36)</c:f>
              <c:numCache>
                <c:formatCode>0.0</c:formatCode>
                <c:ptCount val="4"/>
                <c:pt idx="0">
                  <c:v>0</c:v>
                </c:pt>
                <c:pt idx="1">
                  <c:v>0</c:v>
                </c:pt>
                <c:pt idx="2">
                  <c:v>0</c:v>
                </c:pt>
                <c:pt idx="3">
                  <c:v>0</c:v>
                </c:pt>
              </c:numCache>
            </c:numRef>
          </c:val>
          <c:extLst>
            <c:ext xmlns:c16="http://schemas.microsoft.com/office/drawing/2014/chart" uri="{C3380CC4-5D6E-409C-BE32-E72D297353CC}">
              <c16:uniqueId val="{00000008-AAA0-4AC4-985D-5AD665A3FFC9}"/>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5BC2-40DD-81FB-A5F770145479}"/>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5BC2-40DD-81FB-A5F770145479}"/>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5BC2-40DD-81FB-A5F770145479}"/>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BC2-40DD-81FB-A5F770145479}"/>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(Calculator!$DB$42,Calculator!$DB$44,Calculator!$DB$46,Calculator!$DB$48)</c:f>
              <c:numCache>
                <c:formatCode>0.0</c:formatCode>
                <c:ptCount val="4"/>
                <c:pt idx="0">
                  <c:v>0</c:v>
                </c:pt>
                <c:pt idx="1">
                  <c:v>0</c:v>
                </c:pt>
                <c:pt idx="2">
                  <c:v>0</c:v>
                </c:pt>
                <c:pt idx="3">
                  <c:v>0</c:v>
                </c:pt>
              </c:numCache>
            </c:numRef>
          </c:val>
          <c:extLst>
            <c:ext xmlns:c16="http://schemas.microsoft.com/office/drawing/2014/chart" uri="{C3380CC4-5D6E-409C-BE32-E72D297353CC}">
              <c16:uniqueId val="{00000008-5BC2-40DD-81FB-A5F770145479}"/>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A797-4F54-A2F1-23A1C646A24C}"/>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A797-4F54-A2F1-23A1C646A24C}"/>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A797-4F54-A2F1-23A1C646A24C}"/>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A797-4F54-A2F1-23A1C646A24C}"/>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(Calculator!$DO$30,Calculator!$DO$32,Calculator!$DO$34,Calculator!$DO$36)</c:f>
              <c:numCache>
                <c:formatCode>0.0</c:formatCode>
                <c:ptCount val="4"/>
                <c:pt idx="0">
                  <c:v>0</c:v>
                </c:pt>
                <c:pt idx="1">
                  <c:v>0</c:v>
                </c:pt>
                <c:pt idx="2">
                  <c:v>0</c:v>
                </c:pt>
                <c:pt idx="3">
                  <c:v>0</c:v>
                </c:pt>
              </c:numCache>
            </c:numRef>
          </c:val>
          <c:extLst>
            <c:ext xmlns:c16="http://schemas.microsoft.com/office/drawing/2014/chart" uri="{C3380CC4-5D6E-409C-BE32-E72D297353CC}">
              <c16:uniqueId val="{00000008-A797-4F54-A2F1-23A1C646A24C}"/>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7B15-4F59-A070-2B1E12655B42}"/>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B15-4F59-A070-2B1E12655B42}"/>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7B15-4F59-A070-2B1E12655B42}"/>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B15-4F59-A070-2B1E12655B42}"/>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(Calculator!$DO$42,Calculator!$DO$44,Calculator!$DO$46,Calculator!$DO$48)</c:f>
              <c:numCache>
                <c:formatCode>0.0</c:formatCode>
                <c:ptCount val="4"/>
                <c:pt idx="0">
                  <c:v>0</c:v>
                </c:pt>
                <c:pt idx="1">
                  <c:v>0</c:v>
                </c:pt>
                <c:pt idx="2">
                  <c:v>0</c:v>
                </c:pt>
                <c:pt idx="3">
                  <c:v>0</c:v>
                </c:pt>
              </c:numCache>
            </c:numRef>
          </c:val>
          <c:extLst>
            <c:ext xmlns:c16="http://schemas.microsoft.com/office/drawing/2014/chart" uri="{C3380CC4-5D6E-409C-BE32-E72D297353CC}">
              <c16:uniqueId val="{00000008-7B15-4F59-A070-2B1E12655B42}"/>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DD6B-4FF4-A1DB-4E60C6EAC210}"/>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DD6B-4FF4-A1DB-4E60C6EAC210}"/>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DD6B-4FF4-A1DB-4E60C6EAC210}"/>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DD6B-4FF4-A1DB-4E60C6EAC210}"/>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(Calculator!$DO$54,Calculator!$DO$56,Calculator!$DO$58,Calculator!$DO$60)</c:f>
              <c:numCache>
                <c:formatCode>0.0</c:formatCode>
                <c:ptCount val="4"/>
                <c:pt idx="0">
                  <c:v>0</c:v>
                </c:pt>
                <c:pt idx="1">
                  <c:v>0</c:v>
                </c:pt>
                <c:pt idx="2">
                  <c:v>0</c:v>
                </c:pt>
                <c:pt idx="3">
                  <c:v>0</c:v>
                </c:pt>
              </c:numCache>
            </c:numRef>
          </c:val>
          <c:extLst>
            <c:ext xmlns:c16="http://schemas.microsoft.com/office/drawing/2014/chart" uri="{C3380CC4-5D6E-409C-BE32-E72D297353CC}">
              <c16:uniqueId val="{00000008-DD6B-4FF4-A1DB-4E60C6EAC210}"/>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(Calculator!$DE$67,Calculator!$DA$68:$DA$72,Calculator!$DE$73)</c:f>
              <c:strCache>
                <c:ptCount val="7"/>
                <c:pt idx="0">
                  <c:v>0</c:v>
                </c:pt>
                <c:pt idx="1">
                  <c:v>Year 1</c:v>
                </c:pt>
                <c:pt idx="2">
                  <c:v>Year 2</c:v>
                </c:pt>
                <c:pt idx="3">
                  <c:v>Year 3</c:v>
                </c:pt>
                <c:pt idx="4">
                  <c:v>Year 4</c:v>
                </c:pt>
                <c:pt idx="5">
                  <c:v>Year 5</c:v>
                </c:pt>
                <c:pt idx="6">
                  <c:v>0</c:v>
                </c:pt>
              </c:strCache>
            </c:strRef>
          </c:cat>
          <c:val>
            <c:numRef>
              <c:f>(Calculator!$DF$67,Calculator!$DB$68:$DB$72,Calculator!$DF$73)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3FA4-467F-A454-10683F5CD4A6}"/>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(Calculator!$DE$75,Calculator!$DA$77:$DA$81,Calculator!$DE$82)</c:f>
              <c:strCache>
                <c:ptCount val="7"/>
                <c:pt idx="0">
                  <c:v>0</c:v>
                </c:pt>
                <c:pt idx="1">
                  <c:v>Year 1</c:v>
                </c:pt>
                <c:pt idx="2">
                  <c:v>Year 2</c:v>
                </c:pt>
                <c:pt idx="3">
                  <c:v>Year 3</c:v>
                </c:pt>
                <c:pt idx="4">
                  <c:v>Year 4</c:v>
                </c:pt>
                <c:pt idx="5">
                  <c:v>Year 5</c:v>
                </c:pt>
                <c:pt idx="6">
                  <c:v>0</c:v>
                </c:pt>
              </c:strCache>
            </c:strRef>
          </c:cat>
          <c:val>
            <c:numRef>
              <c:f>(Calculator!$DF$75,Calculator!$DB$77:$DB$81,Calculator!$DF$82)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9D57-444F-A48B-2D5B0C10A377}"/>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(Calculator!$DQ$67,Calculator!$DN$68:$DN$72,Calculator!$DQ$73)</c:f>
              <c:strCache>
                <c:ptCount val="7"/>
                <c:pt idx="0">
                  <c:v>0</c:v>
                </c:pt>
                <c:pt idx="1">
                  <c:v>Year 1</c:v>
                </c:pt>
                <c:pt idx="2">
                  <c:v>Year 2</c:v>
                </c:pt>
                <c:pt idx="3">
                  <c:v>Year 3</c:v>
                </c:pt>
                <c:pt idx="4">
                  <c:v>Year 4</c:v>
                </c:pt>
                <c:pt idx="5">
                  <c:v>Year 5</c:v>
                </c:pt>
                <c:pt idx="6">
                  <c:v>0</c:v>
                </c:pt>
              </c:strCache>
            </c:strRef>
          </c:cat>
          <c:val>
            <c:numRef>
              <c:f>(Calculator!$DR$67,Calculator!$DO$68:$DO$72,Calculator!$DR$73)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AC31-4626-A3A5-E00E8DE507FE}"/>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726E-46E9-87D0-4C8B7F45702A}"/>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26E-46E9-87D0-4C8B7F45702A}"/>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726E-46E9-87D0-4C8B7F45702A}"/>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26E-46E9-87D0-4C8B7F45702A}"/>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(Calculator!$W$30,Calculator!$W$32,Calculator!$W$34,Calculator!$W$36)</c:f>
              <c:numCache>
                <c:formatCode>0.0</c:formatCode>
                <c:ptCount val="4"/>
                <c:pt idx="0">
                  <c:v>133.24666666666667</c:v>
                </c:pt>
                <c:pt idx="1">
                  <c:v>0.22000188192150139</c:v>
                </c:pt>
                <c:pt idx="2">
                  <c:v>0</c:v>
                </c:pt>
                <c:pt idx="3">
                  <c:v>133.46666854858819</c:v>
                </c:pt>
              </c:numCache>
            </c:numRef>
          </c:val>
          <c:extLst>
            <c:ext xmlns:c16="http://schemas.microsoft.com/office/drawing/2014/chart" uri="{C3380CC4-5D6E-409C-BE32-E72D297353CC}">
              <c16:uniqueId val="{00000008-726E-46E9-87D0-4C8B7F45702A}"/>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(Calculator!$DQ$76,Calculator!$DN$77:$DN$81,Calculator!$DQ$82)</c:f>
              <c:strCache>
                <c:ptCount val="7"/>
                <c:pt idx="0">
                  <c:v>0</c:v>
                </c:pt>
                <c:pt idx="1">
                  <c:v>Year 1</c:v>
                </c:pt>
                <c:pt idx="2">
                  <c:v>Year 2</c:v>
                </c:pt>
                <c:pt idx="3">
                  <c:v>Year 3</c:v>
                </c:pt>
                <c:pt idx="4">
                  <c:v>Year 4</c:v>
                </c:pt>
                <c:pt idx="5">
                  <c:v>Year 5</c:v>
                </c:pt>
                <c:pt idx="6">
                  <c:v>0</c:v>
                </c:pt>
              </c:strCache>
            </c:strRef>
          </c:cat>
          <c:val>
            <c:numRef>
              <c:f>(Calculator!$DR$76,Calculator!$DO$77:$DO$81,Calculator!$DR$82)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AEFB-400F-B6C8-1AE7CC7481D1}"/>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EE8E-4993-A290-BEE38B965348}"/>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EE8E-4993-A290-BEE38B965348}"/>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EE8E-4993-A290-BEE38B965348}"/>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EE8E-4993-A290-BEE38B965348}"/>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(Calculator!$EH$54,Calculator!$EH$56,Calculator!$EH$58,Calculator!$EH$60)</c:f>
              <c:numCache>
                <c:formatCode>0.0</c:formatCode>
                <c:ptCount val="4"/>
                <c:pt idx="0">
                  <c:v>0</c:v>
                </c:pt>
                <c:pt idx="1">
                  <c:v>0</c:v>
                </c:pt>
                <c:pt idx="2">
                  <c:v>0</c:v>
                </c:pt>
                <c:pt idx="3">
                  <c:v>0</c:v>
                </c:pt>
              </c:numCache>
            </c:numRef>
          </c:val>
          <c:extLst>
            <c:ext xmlns:c16="http://schemas.microsoft.com/office/drawing/2014/chart" uri="{C3380CC4-5D6E-409C-BE32-E72D297353CC}">
              <c16:uniqueId val="{00000008-EE8E-4993-A290-BEE38B965348}"/>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366-4C58-BCAA-EF7BD88CE1CA}"/>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8366-4C58-BCAA-EF7BD88CE1CA}"/>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8366-4C58-BCAA-EF7BD88CE1CA}"/>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366-4C58-BCAA-EF7BD88CE1CA}"/>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(Calculator!$EH$30,Calculator!$EH$32,Calculator!$EH$34,Calculator!$EH$36)</c:f>
              <c:numCache>
                <c:formatCode>0.0</c:formatCode>
                <c:ptCount val="4"/>
                <c:pt idx="0">
                  <c:v>0</c:v>
                </c:pt>
                <c:pt idx="1">
                  <c:v>0</c:v>
                </c:pt>
                <c:pt idx="2">
                  <c:v>0</c:v>
                </c:pt>
                <c:pt idx="3">
                  <c:v>0</c:v>
                </c:pt>
              </c:numCache>
            </c:numRef>
          </c:val>
          <c:extLst>
            <c:ext xmlns:c16="http://schemas.microsoft.com/office/drawing/2014/chart" uri="{C3380CC4-5D6E-409C-BE32-E72D297353CC}">
              <c16:uniqueId val="{00000008-8366-4C58-BCAA-EF7BD88CE1CA}"/>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B049-43E3-B661-328FAD30B3F1}"/>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B049-43E3-B661-328FAD30B3F1}"/>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B049-43E3-B661-328FAD30B3F1}"/>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B049-43E3-B661-328FAD30B3F1}"/>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(Calculator!$EH$42,Calculator!$EH$44,Calculator!$EH$46,Calculator!$EH$48)</c:f>
              <c:numCache>
                <c:formatCode>0.0</c:formatCode>
                <c:ptCount val="4"/>
                <c:pt idx="0">
                  <c:v>0</c:v>
                </c:pt>
                <c:pt idx="1">
                  <c:v>0</c:v>
                </c:pt>
                <c:pt idx="2">
                  <c:v>0</c:v>
                </c:pt>
                <c:pt idx="3">
                  <c:v>0</c:v>
                </c:pt>
              </c:numCache>
            </c:numRef>
          </c:val>
          <c:extLst>
            <c:ext xmlns:c16="http://schemas.microsoft.com/office/drawing/2014/chart" uri="{C3380CC4-5D6E-409C-BE32-E72D297353CC}">
              <c16:uniqueId val="{00000008-B049-43E3-B661-328FAD30B3F1}"/>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CO2-e/ha/yr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original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0A41-49C9-BCCD-3AAB32D71102}"/>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0A41-49C9-BCCD-3AAB32D71102}"/>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0A41-49C9-BCCD-3AAB32D71102}"/>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0A41-49C9-BCCD-3AAB32D71102}"/>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(Calculator!$EU$30,Calculator!$EU$32,Calculator!$EU$34,Calculator!$EU$36)</c:f>
              <c:numCache>
                <c:formatCode>0.0</c:formatCode>
                <c:ptCount val="4"/>
                <c:pt idx="0">
                  <c:v>0</c:v>
                </c:pt>
                <c:pt idx="1">
                  <c:v>0</c:v>
                </c:pt>
                <c:pt idx="2">
                  <c:v>0</c:v>
                </c:pt>
                <c:pt idx="3">
                  <c:v>0</c:v>
                </c:pt>
              </c:numCache>
            </c:numRef>
          </c:val>
          <c:extLst>
            <c:ext xmlns:c16="http://schemas.microsoft.com/office/drawing/2014/chart" uri="{C3380CC4-5D6E-409C-BE32-E72D297353CC}">
              <c16:uniqueId val="{00000008-0A41-49C9-BCCD-3AAB32D71102}"/>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B212-4C89-80F1-6CD34C98D63B}"/>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B212-4C89-80F1-6CD34C98D63B}"/>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B212-4C89-80F1-6CD34C98D63B}"/>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B212-4C89-80F1-6CD34C98D63B}"/>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(Calculator!$EU$42,Calculator!$EU$44,Calculator!$EU$46,Calculator!$EU$48)</c:f>
              <c:numCache>
                <c:formatCode>0.0</c:formatCode>
                <c:ptCount val="4"/>
                <c:pt idx="0">
                  <c:v>0</c:v>
                </c:pt>
                <c:pt idx="1">
                  <c:v>0</c:v>
                </c:pt>
                <c:pt idx="2">
                  <c:v>0</c:v>
                </c:pt>
                <c:pt idx="3">
                  <c:v>0</c:v>
                </c:pt>
              </c:numCache>
            </c:numRef>
          </c:val>
          <c:extLst>
            <c:ext xmlns:c16="http://schemas.microsoft.com/office/drawing/2014/chart" uri="{C3380CC4-5D6E-409C-BE32-E72D297353CC}">
              <c16:uniqueId val="{00000008-B212-4C89-80F1-6CD34C98D63B}"/>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95F0-46A4-8E4F-A9AB6F886581}"/>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95F0-46A4-8E4F-A9AB6F886581}"/>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95F0-46A4-8E4F-A9AB6F886581}"/>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95F0-46A4-8E4F-A9AB6F886581}"/>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(Calculator!$EU$54,Calculator!$EU$56,Calculator!$EU$58,Calculator!$EU$60)</c:f>
              <c:numCache>
                <c:formatCode>0.0</c:formatCode>
                <c:ptCount val="4"/>
                <c:pt idx="0">
                  <c:v>0</c:v>
                </c:pt>
                <c:pt idx="1">
                  <c:v>0</c:v>
                </c:pt>
                <c:pt idx="2">
                  <c:v>0</c:v>
                </c:pt>
                <c:pt idx="3">
                  <c:v>0</c:v>
                </c:pt>
              </c:numCache>
            </c:numRef>
          </c:val>
          <c:extLst>
            <c:ext xmlns:c16="http://schemas.microsoft.com/office/drawing/2014/chart" uri="{C3380CC4-5D6E-409C-BE32-E72D297353CC}">
              <c16:uniqueId val="{00000008-95F0-46A4-8E4F-A9AB6F886581}"/>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(Calculator!$EK$67,Calculator!$EG$68:$EG$72,Calculator!$EK$73)</c:f>
              <c:strCache>
                <c:ptCount val="7"/>
                <c:pt idx="0">
                  <c:v>0</c:v>
                </c:pt>
                <c:pt idx="1">
                  <c:v>Year 1</c:v>
                </c:pt>
                <c:pt idx="2">
                  <c:v>Year 2</c:v>
                </c:pt>
                <c:pt idx="3">
                  <c:v>Year 3</c:v>
                </c:pt>
                <c:pt idx="4">
                  <c:v>Year 4</c:v>
                </c:pt>
                <c:pt idx="5">
                  <c:v>Year 5</c:v>
                </c:pt>
                <c:pt idx="6">
                  <c:v>0</c:v>
                </c:pt>
              </c:strCache>
            </c:strRef>
          </c:cat>
          <c:val>
            <c:numRef>
              <c:f>(Calculator!$EL$67,Calculator!$EH$68:$EH$72,Calculator!$EL$73)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A2AE-4D11-A733-DA8BC9ADBDD9}"/>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(Calculator!$EK$75,Calculator!$EG$77:$EG$81,Calculator!$EK$82)</c:f>
              <c:strCache>
                <c:ptCount val="7"/>
                <c:pt idx="0">
                  <c:v>0</c:v>
                </c:pt>
                <c:pt idx="1">
                  <c:v>Year 1</c:v>
                </c:pt>
                <c:pt idx="2">
                  <c:v>Year 2</c:v>
                </c:pt>
                <c:pt idx="3">
                  <c:v>Year 3</c:v>
                </c:pt>
                <c:pt idx="4">
                  <c:v>Year 4</c:v>
                </c:pt>
                <c:pt idx="5">
                  <c:v>Year 5</c:v>
                </c:pt>
                <c:pt idx="6">
                  <c:v>0</c:v>
                </c:pt>
              </c:strCache>
            </c:strRef>
          </c:cat>
          <c:val>
            <c:numRef>
              <c:f>(Calculator!$EL$75,Calculator!$EH$77:$EH$81,Calculator!$EL$82)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EE46-4518-87D3-C644416ADBBF}"/>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(Calculator!$EW$67,Calculator!$ET$68:$ET$72,Calculator!$EW$73)</c:f>
              <c:strCache>
                <c:ptCount val="7"/>
                <c:pt idx="0">
                  <c:v>0</c:v>
                </c:pt>
                <c:pt idx="1">
                  <c:v>Year 1</c:v>
                </c:pt>
                <c:pt idx="2">
                  <c:v>Year 2</c:v>
                </c:pt>
                <c:pt idx="3">
                  <c:v>Year 3</c:v>
                </c:pt>
                <c:pt idx="4">
                  <c:v>Year 4</c:v>
                </c:pt>
                <c:pt idx="5">
                  <c:v>Year 5</c:v>
                </c:pt>
                <c:pt idx="6">
                  <c:v>0</c:v>
                </c:pt>
              </c:strCache>
            </c:strRef>
          </c:cat>
          <c:val>
            <c:numRef>
              <c:f>(Calculator!$EX$67,Calculator!$EU$68:$EU$72,Calculator!$EX$73)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E58B-4EDD-BE28-2A8D91F0FAD8}"/>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Greenhouse gas balance contributions for final land use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E12C-4497-9BA3-77C2BD6BCAFC}"/>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E12C-4497-9BA3-77C2BD6BCAFC}"/>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E12C-4497-9BA3-77C2BD6BCAFC}"/>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E12C-4497-9BA3-77C2BD6BCAFC}"/>
              </c:ext>
            </c:extLst>
          </c:dPt>
          <c:cat>
            <c:strRef>
              <c:f>(Calculator!$N$30,Calculator!$N$32,Calculator!$N$34,Calculator!$N$36)</c:f>
              <c:strCache>
                <c:ptCount val="4"/>
                <c:pt idx="0">
                  <c:v>Carbon dioxide</c:v>
                </c:pt>
                <c:pt idx="1">
                  <c:v>Methane</c:v>
                </c:pt>
                <c:pt idx="2">
                  <c:v>Nitrous Oxide</c:v>
                </c:pt>
                <c:pt idx="3">
                  <c:v>Overall balance</c:v>
                </c:pt>
              </c:strCache>
            </c:strRef>
          </c:cat>
          <c:val>
            <c:numRef>
              <c:f>(Calculator!$W$42,Calculator!$W$44,Calculator!$W$46,Calculator!$W$48)</c:f>
              <c:numCache>
                <c:formatCode>0.0</c:formatCode>
                <c:ptCount val="4"/>
                <c:pt idx="0">
                  <c:v>#N/A</c:v>
                </c:pt>
                <c:pt idx="1">
                  <c:v>#N/A</c:v>
                </c:pt>
                <c:pt idx="2">
                  <c:v>0</c:v>
                </c:pt>
                <c:pt idx="3">
                  <c:v>#N/A</c:v>
                </c:pt>
              </c:numCache>
            </c:numRef>
          </c:val>
          <c:extLst>
            <c:ext xmlns:c16="http://schemas.microsoft.com/office/drawing/2014/chart" uri="{C3380CC4-5D6E-409C-BE32-E72D297353CC}">
              <c16:uniqueId val="{00000008-E12C-4497-9BA3-77C2BD6BCAFC}"/>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(Calculator!$EW$76,Calculator!$ET$77:$ET$81,Calculator!$EW$82)</c:f>
              <c:strCache>
                <c:ptCount val="7"/>
                <c:pt idx="0">
                  <c:v>0</c:v>
                </c:pt>
                <c:pt idx="1">
                  <c:v>Year 1</c:v>
                </c:pt>
                <c:pt idx="2">
                  <c:v>Year 2</c:v>
                </c:pt>
                <c:pt idx="3">
                  <c:v>Year 3</c:v>
                </c:pt>
                <c:pt idx="4">
                  <c:v>Year 4</c:v>
                </c:pt>
                <c:pt idx="5">
                  <c:v>Year 5</c:v>
                </c:pt>
                <c:pt idx="6">
                  <c:v>0</c:v>
                </c:pt>
              </c:strCache>
            </c:strRef>
          </c:cat>
          <c:val>
            <c:numRef>
              <c:f>(Calculator!$EX$76,Calculator!$EU$77:$EU$81,Calculator!$EX$82)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3965-4BCE-B2B4-550481828767}"/>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1"/>
          <c:tx>
            <c:strRef>
              <c:f>'Model Summary'!$C$21</c:f>
              <c:strCache>
                <c:ptCount val="1"/>
                <c:pt idx="0">
                  <c:v>Near-natural Fen</c:v>
                </c:pt>
              </c:strCache>
            </c:strRef>
          </c:tx>
          <c:spPr>
            <a:ln w="25400" cap="rnd">
              <a:noFill/>
              <a:round/>
            </a:ln>
            <a:effectLst/>
          </c:spPr>
          <c:marker>
            <c:symbol val="circle"/>
            <c:size val="5"/>
            <c:spPr>
              <a:solidFill>
                <a:schemeClr val="accent2"/>
              </a:solidFill>
              <a:ln w="9525">
                <a:solidFill>
                  <a:schemeClr val="accent2"/>
                </a:solidFill>
              </a:ln>
              <a:effectLst/>
            </c:spPr>
          </c:marker>
          <c:xVal>
            <c:numRef>
              <c:f>'Model Summary'!$D$20:$G$20</c:f>
              <c:numCache>
                <c:formatCode>General</c:formatCode>
                <c:ptCount val="4"/>
                <c:pt idx="0">
                  <c:v>-5</c:v>
                </c:pt>
                <c:pt idx="1">
                  <c:v>0</c:v>
                </c:pt>
                <c:pt idx="2">
                  <c:v>5</c:v>
                </c:pt>
                <c:pt idx="3">
                  <c:v>10</c:v>
                </c:pt>
              </c:numCache>
            </c:numRef>
          </c:xVal>
          <c:yVal>
            <c:numRef>
              <c:f>'Model Summary'!$D$21:$G$21</c:f>
              <c:numCache>
                <c:formatCode>0.00</c:formatCode>
                <c:ptCount val="4"/>
                <c:pt idx="0">
                  <c:v>9.2533962495068174</c:v>
                </c:pt>
                <c:pt idx="1">
                  <c:v>5.342777526120523</c:v>
                </c:pt>
                <c:pt idx="2">
                  <c:v>3.0848426808848624</c:v>
                </c:pt>
                <c:pt idx="3">
                  <c:v>1.7811436690531277</c:v>
                </c:pt>
              </c:numCache>
            </c:numRef>
          </c:yVal>
          <c:smooth val="0"/>
          <c:extLst>
            <c:ext xmlns:c16="http://schemas.microsoft.com/office/drawing/2014/chart" uri="{C3380CC4-5D6E-409C-BE32-E72D297353CC}">
              <c16:uniqueId val="{00000001-AF36-4D47-9BE5-F54502226BA8}"/>
            </c:ext>
          </c:extLst>
        </c:ser>
        <c:ser>
          <c:idx val="3"/>
          <c:order val="3"/>
          <c:tx>
            <c:strRef>
              <c:f>'Model Summary'!$C$22</c:f>
              <c:strCache>
                <c:ptCount val="1"/>
                <c:pt idx="0">
                  <c:v>Re-wetted Fen</c:v>
                </c:pt>
              </c:strCache>
            </c:strRef>
          </c:tx>
          <c:spPr>
            <a:ln w="25400" cap="rnd">
              <a:noFill/>
              <a:round/>
            </a:ln>
            <a:effectLst/>
          </c:spPr>
          <c:marker>
            <c:symbol val="circle"/>
            <c:size val="5"/>
            <c:spPr>
              <a:solidFill>
                <a:schemeClr val="accent4"/>
              </a:solidFill>
              <a:ln w="9525">
                <a:solidFill>
                  <a:schemeClr val="accent4"/>
                </a:solidFill>
              </a:ln>
              <a:effectLst/>
            </c:spPr>
          </c:marker>
          <c:xVal>
            <c:numRef>
              <c:f>'Model Summary'!$D$20:$H$20</c:f>
              <c:numCache>
                <c:formatCode>General</c:formatCode>
                <c:ptCount val="5"/>
                <c:pt idx="0">
                  <c:v>-5</c:v>
                </c:pt>
                <c:pt idx="1">
                  <c:v>0</c:v>
                </c:pt>
                <c:pt idx="2">
                  <c:v>5</c:v>
                </c:pt>
                <c:pt idx="3">
                  <c:v>10</c:v>
                </c:pt>
                <c:pt idx="4">
                  <c:v>20</c:v>
                </c:pt>
              </c:numCache>
            </c:numRef>
          </c:xVal>
          <c:yVal>
            <c:numRef>
              <c:f>'Model Summary'!$D$22:$H$22</c:f>
              <c:numCache>
                <c:formatCode>0.00</c:formatCode>
                <c:ptCount val="5"/>
                <c:pt idx="0">
                  <c:v>19.109244528419008</c:v>
                </c:pt>
                <c:pt idx="1">
                  <c:v>11.033402164423697</c:v>
                </c:pt>
                <c:pt idx="2">
                  <c:v>6.3705272670965858</c:v>
                </c:pt>
                <c:pt idx="3">
                  <c:v>3.6782505573557036</c:v>
                </c:pt>
                <c:pt idx="4">
                  <c:v>1.2262334827522556</c:v>
                </c:pt>
              </c:numCache>
            </c:numRef>
          </c:yVal>
          <c:smooth val="0"/>
          <c:extLst>
            <c:ext xmlns:c16="http://schemas.microsoft.com/office/drawing/2014/chart" uri="{C3380CC4-5D6E-409C-BE32-E72D297353CC}">
              <c16:uniqueId val="{00000003-AF36-4D47-9BE5-F54502226BA8}"/>
            </c:ext>
          </c:extLst>
        </c:ser>
        <c:ser>
          <c:idx val="6"/>
          <c:order val="6"/>
          <c:tx>
            <c:strRef>
              <c:f>'Model Summary'!$C$23</c:f>
              <c:strCache>
                <c:ptCount val="1"/>
                <c:pt idx="0">
                  <c:v>Modified Fen</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'Model Summary'!$F$20:$J$20</c:f>
              <c:numCache>
                <c:formatCode>General</c:formatCode>
                <c:ptCount val="5"/>
                <c:pt idx="0">
                  <c:v>5</c:v>
                </c:pt>
                <c:pt idx="1">
                  <c:v>10</c:v>
                </c:pt>
                <c:pt idx="2">
                  <c:v>20</c:v>
                </c:pt>
                <c:pt idx="3">
                  <c:v>30</c:v>
                </c:pt>
                <c:pt idx="4">
                  <c:v>50</c:v>
                </c:pt>
              </c:numCache>
            </c:numRef>
          </c:xVal>
          <c:yVal>
            <c:numRef>
              <c:f>'Model Summary'!$F$23:$J$23</c:f>
              <c:numCache>
                <c:formatCode>0.00</c:formatCode>
                <c:ptCount val="5"/>
                <c:pt idx="0">
                  <c:v>3.0848426808848624</c:v>
                </c:pt>
                <c:pt idx="1">
                  <c:v>1.7811436690531277</c:v>
                </c:pt>
                <c:pt idx="2">
                  <c:v>0.59378717423624794</c:v>
                </c:pt>
                <c:pt idx="3">
                  <c:v>0.19795326700114238</c:v>
                </c:pt>
                <c:pt idx="4">
                  <c:v>2.200018819215014E-2</c:v>
                </c:pt>
              </c:numCache>
            </c:numRef>
          </c:yVal>
          <c:smooth val="0"/>
          <c:extLst>
            <c:ext xmlns:c16="http://schemas.microsoft.com/office/drawing/2014/chart" uri="{C3380CC4-5D6E-409C-BE32-E72D297353CC}">
              <c16:uniqueId val="{00000006-AF36-4D47-9BE5-F54502226BA8}"/>
            </c:ext>
          </c:extLst>
        </c:ser>
        <c:ser>
          <c:idx val="9"/>
          <c:order val="9"/>
          <c:tx>
            <c:strRef>
              <c:f>'Model Summary'!$C$24</c:f>
              <c:strCache>
                <c:ptCount val="1"/>
                <c:pt idx="0">
                  <c:v>Grassland (Extensive)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'Model Summary'!$H$20:$L$20</c:f>
              <c:numCache>
                <c:formatCode>General</c:formatCode>
                <c:ptCount val="5"/>
                <c:pt idx="0">
                  <c:v>20</c:v>
                </c:pt>
                <c:pt idx="1">
                  <c:v>30</c:v>
                </c:pt>
                <c:pt idx="2">
                  <c:v>50</c:v>
                </c:pt>
                <c:pt idx="3">
                  <c:v>70</c:v>
                </c:pt>
                <c:pt idx="4">
                  <c:v>100</c:v>
                </c:pt>
              </c:numCache>
            </c:numRef>
          </c:xVal>
          <c:yVal>
            <c:numRef>
              <c:f>'Model Summary'!$H$24:$L$24</c:f>
              <c:numCache>
                <c:formatCode>0.00</c:formatCode>
                <c:ptCount val="5"/>
                <c:pt idx="0">
                  <c:v>1.2262334827522556</c:v>
                </c:pt>
                <c:pt idx="1">
                  <c:v>0.40879448824272024</c:v>
                </c:pt>
                <c:pt idx="2">
                  <c:v>4.5432721619096353E-2</c:v>
                </c:pt>
                <c:pt idx="3">
                  <c:v>5.0493151279787651E-3</c:v>
                </c:pt>
                <c:pt idx="4">
                  <c:v>1.8708030061425048E-4</c:v>
                </c:pt>
              </c:numCache>
            </c:numRef>
          </c:yVal>
          <c:smooth val="0"/>
          <c:extLst>
            <c:ext xmlns:c16="http://schemas.microsoft.com/office/drawing/2014/chart" uri="{C3380CC4-5D6E-409C-BE32-E72D297353CC}">
              <c16:uniqueId val="{00000009-AF36-4D47-9BE5-F54502226BA8}"/>
            </c:ext>
          </c:extLst>
        </c:ser>
        <c:ser>
          <c:idx val="10"/>
          <c:order val="10"/>
          <c:tx>
            <c:strRef>
              <c:f>'Model Summary'!$C$25</c:f>
              <c:strCache>
                <c:ptCount val="1"/>
                <c:pt idx="0">
                  <c:v>Grassland (Intensive)</c:v>
                </c:pt>
              </c:strCache>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'Model Summary'!$I$20:$L$20</c:f>
              <c:numCache>
                <c:formatCode>General</c:formatCode>
                <c:ptCount val="4"/>
                <c:pt idx="0">
                  <c:v>30</c:v>
                </c:pt>
                <c:pt idx="1">
                  <c:v>50</c:v>
                </c:pt>
                <c:pt idx="2">
                  <c:v>70</c:v>
                </c:pt>
                <c:pt idx="3">
                  <c:v>100</c:v>
                </c:pt>
              </c:numCache>
            </c:numRef>
          </c:xVal>
          <c:yVal>
            <c:numRef>
              <c:f>'Model Summary'!$I$25:$L$25</c:f>
              <c:numCache>
                <c:formatCode>0.00</c:formatCode>
                <c:ptCount val="4"/>
                <c:pt idx="0">
                  <c:v>0.40879448824272024</c:v>
                </c:pt>
                <c:pt idx="1">
                  <c:v>4.5432721619096353E-2</c:v>
                </c:pt>
                <c:pt idx="2">
                  <c:v>5.0493151279787651E-3</c:v>
                </c:pt>
                <c:pt idx="3">
                  <c:v>1.8708030061425048E-4</c:v>
                </c:pt>
              </c:numCache>
            </c:numRef>
          </c:yVal>
          <c:smooth val="0"/>
          <c:extLst>
            <c:ext xmlns:c16="http://schemas.microsoft.com/office/drawing/2014/chart" uri="{C3380CC4-5D6E-409C-BE32-E72D297353CC}">
              <c16:uniqueId val="{0000000A-AF36-4D47-9BE5-F54502226BA8}"/>
            </c:ext>
          </c:extLst>
        </c:ser>
        <c:ser>
          <c:idx val="11"/>
          <c:order val="11"/>
          <c:tx>
            <c:strRef>
              <c:f>'Model Summary'!$C$26</c:f>
              <c:strCache>
                <c:ptCount val="1"/>
                <c:pt idx="0">
                  <c:v>Cropland</c:v>
                </c:pt>
              </c:strCache>
            </c:strRef>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Ref>
              <c:f>'Model Summary'!$I$20:$L$20</c:f>
              <c:numCache>
                <c:formatCode>General</c:formatCode>
                <c:ptCount val="4"/>
                <c:pt idx="0">
                  <c:v>30</c:v>
                </c:pt>
                <c:pt idx="1">
                  <c:v>50</c:v>
                </c:pt>
                <c:pt idx="2">
                  <c:v>70</c:v>
                </c:pt>
                <c:pt idx="3">
                  <c:v>100</c:v>
                </c:pt>
              </c:numCache>
            </c:numRef>
          </c:xVal>
          <c:yVal>
            <c:numRef>
              <c:f>'Model Summary'!$I$26:$L$26</c:f>
              <c:numCache>
                <c:formatCode>0.00</c:formatCode>
                <c:ptCount val="4"/>
                <c:pt idx="0">
                  <c:v>0.40879448824272024</c:v>
                </c:pt>
                <c:pt idx="1">
                  <c:v>4.5432721619096353E-2</c:v>
                </c:pt>
                <c:pt idx="2">
                  <c:v>5.0493151279787651E-3</c:v>
                </c:pt>
                <c:pt idx="3">
                  <c:v>1.8708030061425048E-4</c:v>
                </c:pt>
              </c:numCache>
            </c:numRef>
          </c:yVal>
          <c:smooth val="0"/>
          <c:extLst>
            <c:ext xmlns:c16="http://schemas.microsoft.com/office/drawing/2014/chart" uri="{C3380CC4-5D6E-409C-BE32-E72D297353CC}">
              <c16:uniqueId val="{0000000B-AF36-4D47-9BE5-F54502226BA8}"/>
            </c:ext>
          </c:extLst>
        </c:ser>
        <c:ser>
          <c:idx val="12"/>
          <c:order val="12"/>
          <c:tx>
            <c:strRef>
              <c:f>'Model Summary'!$T$48:$U$48</c:f>
              <c:strCache>
                <c:ptCount val="2"/>
                <c:pt idx="0">
                  <c:v>Evans et al. (2021) Line</c:v>
                </c:pt>
              </c:strCache>
            </c:strRef>
          </c:tx>
          <c:spPr>
            <a:ln w="12700" cap="rnd">
              <a:solidFill>
                <a:schemeClr val="tx1"/>
              </a:solidFill>
              <a:round/>
            </a:ln>
            <a:effectLst/>
          </c:spPr>
          <c:marker>
            <c:symbol val="circle"/>
            <c:size val="5"/>
            <c:spPr>
              <a:noFill/>
              <a:ln w="9525">
                <a:noFill/>
              </a:ln>
              <a:effectLst/>
            </c:spPr>
          </c:marker>
          <c:xVal>
            <c:numRef>
              <c:f>'Model Summary'!$T$50:$T$155</c:f>
              <c:numCache>
                <c:formatCode>General</c:formatCode>
                <c:ptCount val="106"/>
                <c:pt idx="0">
                  <c:v>-5</c:v>
                </c:pt>
                <c:pt idx="1">
                  <c:v>-4</c:v>
                </c:pt>
                <c:pt idx="2">
                  <c:v>-3</c:v>
                </c:pt>
                <c:pt idx="3">
                  <c:v>-2</c:v>
                </c:pt>
                <c:pt idx="4">
                  <c:v>-1</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numCache>
            </c:numRef>
          </c:xVal>
          <c:yVal>
            <c:numRef>
              <c:f>'Model Summary'!$U$50:$U$155</c:f>
              <c:numCache>
                <c:formatCode>0.00</c:formatCode>
                <c:ptCount val="106"/>
                <c:pt idx="0">
                  <c:v>12.469333333333335</c:v>
                </c:pt>
                <c:pt idx="1">
                  <c:v>11.172141327081166</c:v>
                </c:pt>
                <c:pt idx="2">
                  <c:v>10.00989696045832</c:v>
                </c:pt>
                <c:pt idx="3">
                  <c:v>8.9685615519482909</c:v>
                </c:pt>
                <c:pt idx="4">
                  <c:v>8.0355568722459942</c:v>
                </c:pt>
                <c:pt idx="5">
                  <c:v>7.1996132125639338</c:v>
                </c:pt>
                <c:pt idx="6">
                  <c:v>6.4506332584809503</c:v>
                </c:pt>
                <c:pt idx="7">
                  <c:v>5.7795701250737235</c:v>
                </c:pt>
                <c:pt idx="8">
                  <c:v>5.1783180801245567</c:v>
                </c:pt>
                <c:pt idx="9">
                  <c:v>4.6396146354574821</c:v>
                </c:pt>
                <c:pt idx="10">
                  <c:v>4.1569528237696627</c:v>
                </c:pt>
                <c:pt idx="11">
                  <c:v>3.7245026013550944</c:v>
                </c:pt>
                <c:pt idx="12">
                  <c:v>3.3370404273487408</c:v>
                </c:pt>
                <c:pt idx="13">
                  <c:v>2.9898861688828706</c:v>
                </c:pt>
                <c:pt idx="14">
                  <c:v>2.6788465700367325</c:v>
                </c:pt>
                <c:pt idx="15">
                  <c:v>2.400164601744307</c:v>
                </c:pt>
                <c:pt idx="16">
                  <c:v>2.1504740808606346</c:v>
                </c:pt>
                <c:pt idx="17">
                  <c:v>1.9267590102331043</c:v>
                </c:pt>
                <c:pt idx="18">
                  <c:v>1.7263171486487867</c:v>
                </c:pt>
                <c:pt idx="19">
                  <c:v>1.5467273706213673</c:v>
                </c:pt>
                <c:pt idx="20">
                  <c:v>1.3858204217584396</c:v>
                </c:pt>
                <c:pt idx="21">
                  <c:v>1.2416527164649687</c:v>
                </c:pt>
                <c:pt idx="22">
                  <c:v>1.1124828614869173</c:v>
                </c:pt>
                <c:pt idx="23">
                  <c:v>0.99675062172429718</c:v>
                </c:pt>
                <c:pt idx="24">
                  <c:v>0.89305807424293204</c:v>
                </c:pt>
                <c:pt idx="25">
                  <c:v>0.80015272284535266</c:v>
                </c:pt>
                <c:pt idx="26">
                  <c:v>0.71691236924270907</c:v>
                </c:pt>
                <c:pt idx="27">
                  <c:v>0.64233155808747944</c:v>
                </c:pt>
                <c:pt idx="28">
                  <c:v>0.57550943213731554</c:v>
                </c:pt>
                <c:pt idx="29">
                  <c:v>0.51563885085326555</c:v>
                </c:pt>
                <c:pt idx="30">
                  <c:v>0.46199664099655763</c:v>
                </c:pt>
                <c:pt idx="31">
                  <c:v>0.41393486146147768</c:v>
                </c:pt>
                <c:pt idx="32">
                  <c:v>0.37087297683276782</c:v>
                </c:pt>
                <c:pt idx="33">
                  <c:v>0.33229084513240337</c:v>
                </c:pt>
                <c:pt idx="34">
                  <c:v>0.29772243505515811</c:v>
                </c:pt>
                <c:pt idx="35">
                  <c:v>0.26675019680380968</c:v>
                </c:pt>
                <c:pt idx="36">
                  <c:v>0.2390000185296362</c:v>
                </c:pt>
                <c:pt idx="37">
                  <c:v>0.21413670745734442</c:v>
                </c:pt>
                <c:pt idx="38">
                  <c:v>0.19185994111120258</c:v>
                </c:pt>
                <c:pt idx="39">
                  <c:v>0.17190063973747524</c:v>
                </c:pt>
                <c:pt idx="40">
                  <c:v>0.15401771610586554</c:v>
                </c:pt>
                <c:pt idx="41">
                  <c:v>0.1379951634310036</c:v>
                </c:pt>
                <c:pt idx="42">
                  <c:v>0.12363944623916027</c:v>
                </c:pt>
                <c:pt idx="43">
                  <c:v>0.11077716266461324</c:v>
                </c:pt>
                <c:pt idx="44">
                  <c:v>9.9252949938685803E-2</c:v>
                </c:pt>
                <c:pt idx="45">
                  <c:v>8.8927607771977335E-2</c:v>
                </c:pt>
                <c:pt idx="46">
                  <c:v>7.9676416962235833E-2</c:v>
                </c:pt>
                <c:pt idx="47">
                  <c:v>7.1387632918430213E-2</c:v>
                </c:pt>
                <c:pt idx="48">
                  <c:v>6.3961135904391675E-2</c:v>
                </c:pt>
                <c:pt idx="49">
                  <c:v>5.7307221698394098E-2</c:v>
                </c:pt>
                <c:pt idx="50">
                  <c:v>5.1345518061123162E-2</c:v>
                </c:pt>
                <c:pt idx="51">
                  <c:v>4.6004013924112463E-2</c:v>
                </c:pt>
                <c:pt idx="52">
                  <c:v>4.121818957227287E-2</c:v>
                </c:pt>
                <c:pt idx="53">
                  <c:v>3.6930237314038883E-2</c:v>
                </c:pt>
                <c:pt idx="54">
                  <c:v>3.3088363225654061E-2</c:v>
                </c:pt>
                <c:pt idx="55">
                  <c:v>2.9646161535404374E-2</c:v>
                </c:pt>
                <c:pt idx="56">
                  <c:v>2.6562054091024551E-2</c:v>
                </c:pt>
                <c:pt idx="57">
                  <c:v>2.3798788139635957E-2</c:v>
                </c:pt>
                <c:pt idx="58">
                  <c:v>2.1322986353930401E-2</c:v>
                </c:pt>
                <c:pt idx="59">
                  <c:v>1.9104743669391591E-2</c:v>
                </c:pt>
                <c:pt idx="60">
                  <c:v>1.711726606277552E-2</c:v>
                </c:pt>
                <c:pt idx="61">
                  <c:v>1.5336546908675541E-2</c:v>
                </c:pt>
                <c:pt idx="62">
                  <c:v>1.3741077004902645E-2</c:v>
                </c:pt>
                <c:pt idx="63">
                  <c:v>1.2311584764094134E-2</c:v>
                </c:pt>
                <c:pt idx="64">
                  <c:v>1.1030803433340359E-2</c:v>
                </c:pt>
                <c:pt idx="65">
                  <c:v>9.8832625300896218E-3</c:v>
                </c:pt>
                <c:pt idx="66">
                  <c:v>8.8551009750967875E-3</c:v>
                </c:pt>
                <c:pt idx="67">
                  <c:v>7.9338996652605596E-3</c:v>
                </c:pt>
                <c:pt idx="68">
                  <c:v>7.108531464005521E-3</c:v>
                </c:pt>
                <c:pt idx="69">
                  <c:v>6.3690267972524323E-3</c:v>
                </c:pt>
                <c:pt idx="70">
                  <c:v>5.7064532315176872E-3</c:v>
                </c:pt>
                <c:pt idx="71">
                  <c:v>5.1128075795734583E-3</c:v>
                </c:pt>
                <c:pt idx="72">
                  <c:v>4.5809192304186088E-3</c:v>
                </c:pt>
                <c:pt idx="73">
                  <c:v>4.1043635358891618E-3</c:v>
                </c:pt>
                <c:pt idx="74">
                  <c:v>3.6773842077100338E-3</c:v>
                </c:pt>
                <c:pt idx="75">
                  <c:v>3.294823787626678E-3</c:v>
                </c:pt>
                <c:pt idx="76">
                  <c:v>2.952061350769418E-3</c:v>
                </c:pt>
                <c:pt idx="77">
                  <c:v>2.6449566897730455E-3</c:v>
                </c:pt>
                <c:pt idx="78">
                  <c:v>2.3698003054549764E-3</c:v>
                </c:pt>
                <c:pt idx="79">
                  <c:v>2.1232685999922314E-3</c:v>
                </c:pt>
                <c:pt idx="80">
                  <c:v>1.902383731378341E-3</c:v>
                </c:pt>
                <c:pt idx="81">
                  <c:v>1.7044776442444512E-3</c:v>
                </c:pt>
                <c:pt idx="82">
                  <c:v>1.5271598425750695E-3</c:v>
                </c:pt>
                <c:pt idx="83">
                  <c:v>1.3682885150469184E-3</c:v>
                </c:pt>
                <c:pt idx="84">
                  <c:v>1.2259446642156389E-3</c:v>
                </c:pt>
                <c:pt idx="85">
                  <c:v>1.0984089270582363E-3</c:v>
                </c:pt>
                <c:pt idx="86">
                  <c:v>9.8414080688800703E-4</c:v>
                </c:pt>
                <c:pt idx="87">
                  <c:v>8.8176006578543481E-4</c:v>
                </c:pt>
                <c:pt idx="88">
                  <c:v>7.9003005278533496E-4</c:v>
                </c:pt>
                <c:pt idx="89">
                  <c:v>7.0784276644240485E-4</c:v>
                </c:pt>
                <c:pt idx="90">
                  <c:v>6.342054713467689E-4</c:v>
                </c:pt>
                <c:pt idx="91">
                  <c:v>5.682287069312098E-4</c:v>
                </c:pt>
                <c:pt idx="92">
                  <c:v>5.0911554372915391E-4</c:v>
                </c:pt>
                <c:pt idx="93">
                  <c:v>4.561519573104055E-4</c:v>
                </c:pt>
                <c:pt idx="94">
                  <c:v>4.0869820362194237E-4</c:v>
                </c:pt>
                <c:pt idx="95">
                  <c:v>3.661810915570364E-4</c:v>
                </c:pt>
                <c:pt idx="96">
                  <c:v>3.2808705941349926E-4</c:v>
                </c:pt>
                <c:pt idx="97">
                  <c:v>2.9395597161201539E-4</c:v>
                </c:pt>
                <c:pt idx="98">
                  <c:v>2.6337556074547359E-4</c:v>
                </c:pt>
                <c:pt idx="99">
                  <c:v>2.3597644782514566E-4</c:v>
                </c:pt>
                <c:pt idx="100">
                  <c:v>2.1142768057355038E-4</c:v>
                </c:pt>
                <c:pt idx="101">
                  <c:v>1.8943273587131198E-4</c:v>
                </c:pt>
                <c:pt idx="102">
                  <c:v>1.6972593807179745E-4</c:v>
                </c:pt>
                <c:pt idx="103">
                  <c:v>1.5206924992056898E-4</c:v>
                </c:pt>
                <c:pt idx="104">
                  <c:v>1.3624939731735116E-4</c:v>
                </c:pt>
                <c:pt idx="105">
                  <c:v>1.2207529319068766E-4</c:v>
                </c:pt>
              </c:numCache>
            </c:numRef>
          </c:yVal>
          <c:smooth val="0"/>
          <c:extLst>
            <c:ext xmlns:c16="http://schemas.microsoft.com/office/drawing/2014/chart" uri="{C3380CC4-5D6E-409C-BE32-E72D297353CC}">
              <c16:uniqueId val="{0000000C-AF36-4D47-9BE5-F54502226BA8}"/>
            </c:ext>
          </c:extLst>
        </c:ser>
        <c:dLbls>
          <c:showLegendKey val="0"/>
          <c:showVal val="0"/>
          <c:showCatName val="0"/>
          <c:showSerName val="0"/>
          <c:showPercent val="0"/>
          <c:showBubbleSize val="0"/>
        </c:dLbls>
        <c:axId val="573574200"/>
        <c:axId val="573576496"/>
        <c:extLst>
          <c:ext xmlns:c15="http://schemas.microsoft.com/office/drawing/2012/chart" uri="{02D57815-91ED-43cb-92C2-25804820EDAC}">
            <c15:filteredScatterSeries>
              <c15:ser>
                <c:idx val="0"/>
                <c:order val="0"/>
                <c:tx>
                  <c:strRef>
                    <c:extLst>
                      <c:ex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'Model Summary'!$D$20:$G$20</c15:sqref>
                        </c15:formulaRef>
                      </c:ext>
                    </c:extLst>
                    <c:numCache>
                      <c:formatCode>General</c:formatCode>
                      <c:ptCount val="4"/>
                      <c:pt idx="0">
                        <c:v>-5</c:v>
                      </c:pt>
                      <c:pt idx="1">
                        <c:v>0</c:v>
                      </c:pt>
                      <c:pt idx="2">
                        <c:v>5</c:v>
                      </c:pt>
                      <c:pt idx="3">
                        <c:v>10</c:v>
                      </c:pt>
                    </c:numCache>
                  </c:numRef>
                </c:xVal>
                <c:yVal>
                  <c:numRef>
                    <c:extLst>
                      <c:ext uri="{02D57815-91ED-43cb-92C2-25804820EDAC}">
                        <c15:formulaRef>
                          <c15:sqref>'Model Summary'!#REF!</c15:sqref>
                        </c15:formulaRef>
                      </c:ext>
                    </c:extLst>
                    <c:numCache>
                      <c:formatCode>General</c:formatCode>
                      <c:ptCount val="1"/>
                      <c:pt idx="0">
                        <c:v>1</c:v>
                      </c:pt>
                    </c:numCache>
                  </c:numRef>
                </c:yVal>
                <c:smooth val="0"/>
                <c:extLst>
                  <c:ext xmlns:c16="http://schemas.microsoft.com/office/drawing/2014/chart" uri="{C3380CC4-5D6E-409C-BE32-E72D297353CC}">
                    <c16:uniqueId val="{00000000-AF36-4D47-9BE5-F54502226BA8}"/>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'Model Summary'!$D$20:$H$20</c15:sqref>
                        </c15:formulaRef>
                      </c:ext>
                    </c:extLst>
                    <c:numCache>
                      <c:formatCode>General</c:formatCode>
                      <c:ptCount val="5"/>
                      <c:pt idx="0">
                        <c:v>-5</c:v>
                      </c:pt>
                      <c:pt idx="1">
                        <c:v>0</c:v>
                      </c:pt>
                      <c:pt idx="2">
                        <c:v>5</c:v>
                      </c:pt>
                      <c:pt idx="3">
                        <c:v>10</c:v>
                      </c:pt>
                      <c:pt idx="4">
                        <c:v>20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2-AF36-4D47-9BE5-F54502226BA8}"/>
                  </c:ext>
                </c:extLst>
              </c15:ser>
            </c15:filteredScatterSeries>
            <c15:filteredScatterSeries>
              <c15:ser>
                <c:idx val="4"/>
                <c:order val="4"/>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5"/>
                    </a:solidFill>
                    <a:ln w="9525">
                      <a:solidFill>
                        <a:schemeClr val="accent5"/>
                      </a:solidFill>
                    </a:ln>
                    <a:effectLst/>
                  </c:spPr>
                </c:marker>
                <c:xVal>
                  <c:numRef>
                    <c:extLst xmlns:c15="http://schemas.microsoft.com/office/drawing/2012/chart">
                      <c:ext xmlns:c15="http://schemas.microsoft.com/office/drawing/2012/chart" uri="{02D57815-91ED-43cb-92C2-25804820EDAC}">
                        <c15:formulaRef>
                          <c15:sqref>'Model Summary'!$F$20:$J$20</c15:sqref>
                        </c15:formulaRef>
                      </c:ext>
                    </c:extLst>
                    <c:numCache>
                      <c:formatCode>General</c:formatCode>
                      <c:ptCount val="5"/>
                      <c:pt idx="0">
                        <c:v>5</c:v>
                      </c:pt>
                      <c:pt idx="1">
                        <c:v>10</c:v>
                      </c:pt>
                      <c:pt idx="2">
                        <c:v>20</c:v>
                      </c:pt>
                      <c:pt idx="3">
                        <c:v>30</c:v>
                      </c:pt>
                      <c:pt idx="4">
                        <c:v>50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4-AF36-4D47-9BE5-F54502226BA8}"/>
                  </c:ext>
                </c:extLst>
              </c15:ser>
            </c15:filteredScatterSeries>
            <c15:filteredScatterSeries>
              <c15:ser>
                <c:idx val="5"/>
                <c:order val="5"/>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6"/>
                    </a:solidFill>
                    <a:ln w="9525">
                      <a:solidFill>
                        <a:schemeClr val="accent6"/>
                      </a:solidFill>
                    </a:ln>
                    <a:effectLst/>
                  </c:spPr>
                </c:marker>
                <c:xVal>
                  <c:numRef>
                    <c:extLst xmlns:c15="http://schemas.microsoft.com/office/drawing/2012/chart">
                      <c:ext xmlns:c15="http://schemas.microsoft.com/office/drawing/2012/chart" uri="{02D57815-91ED-43cb-92C2-25804820EDAC}">
                        <c15:formulaRef>
                          <c15:sqref>'Model Summary'!$H$20:$L$20</c15:sqref>
                        </c15:formulaRef>
                      </c:ext>
                    </c:extLst>
                    <c:numCache>
                      <c:formatCode>General</c:formatCode>
                      <c:ptCount val="5"/>
                      <c:pt idx="0">
                        <c:v>20</c:v>
                      </c:pt>
                      <c:pt idx="1">
                        <c:v>30</c:v>
                      </c:pt>
                      <c:pt idx="2">
                        <c:v>50</c:v>
                      </c:pt>
                      <c:pt idx="3">
                        <c:v>70</c:v>
                      </c:pt>
                      <c:pt idx="4">
                        <c:v>100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5-AF36-4D47-9BE5-F54502226BA8}"/>
                  </c:ext>
                </c:extLst>
              </c15:ser>
            </c15:filteredScatterSeries>
            <c15:filteredScatterSeries>
              <c15:ser>
                <c:idx val="7"/>
                <c:order val="7"/>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'Model Summary'!$H$20:$L$20</c15:sqref>
                        </c15:formulaRef>
                      </c:ext>
                    </c:extLst>
                    <c:numCache>
                      <c:formatCode>General</c:formatCode>
                      <c:ptCount val="5"/>
                      <c:pt idx="0">
                        <c:v>20</c:v>
                      </c:pt>
                      <c:pt idx="1">
                        <c:v>30</c:v>
                      </c:pt>
                      <c:pt idx="2">
                        <c:v>50</c:v>
                      </c:pt>
                      <c:pt idx="3">
                        <c:v>70</c:v>
                      </c:pt>
                      <c:pt idx="4">
                        <c:v>100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7-AF36-4D47-9BE5-F54502226BA8}"/>
                  </c:ext>
                </c:extLst>
              </c15:ser>
            </c15:filteredScatterSeries>
            <c15:filteredScatterSeries>
              <c15:ser>
                <c:idx val="8"/>
                <c:order val="8"/>
                <c:tx>
                  <c:strRef>
                    <c:extLst xmlns:c15="http://schemas.microsoft.com/office/drawing/2012/chart">
                      <c:ext xmlns:c15="http://schemas.microsoft.com/office/drawing/2012/chart" uri="{02D57815-91ED-43cb-92C2-25804820EDAC}">
                        <c15:formulaRef>
                          <c15:sqref>'Model Summary'!#REF!</c15:sqref>
                        </c15:formulaRef>
                      </c:ext>
                    </c:extLst>
                    <c:strCache>
                      <c:ptCount val="1"/>
                      <c:pt idx="0">
                        <c:v>#REF!</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c:ext xmlns:c15="http://schemas.microsoft.com/office/drawing/2012/chart" uri="{02D57815-91ED-43cb-92C2-25804820EDAC}">
                        <c15:formulaRef>
                          <c15:sqref>'Model Summary'!$H$20:$L$20</c15:sqref>
                        </c15:formulaRef>
                      </c:ext>
                    </c:extLst>
                    <c:numCache>
                      <c:formatCode>General</c:formatCode>
                      <c:ptCount val="5"/>
                      <c:pt idx="0">
                        <c:v>20</c:v>
                      </c:pt>
                      <c:pt idx="1">
                        <c:v>30</c:v>
                      </c:pt>
                      <c:pt idx="2">
                        <c:v>50</c:v>
                      </c:pt>
                      <c:pt idx="3">
                        <c:v>70</c:v>
                      </c:pt>
                      <c:pt idx="4">
                        <c:v>100</c:v>
                      </c:pt>
                    </c:numCache>
                  </c:numRef>
                </c:xVal>
                <c:yVal>
                  <c:numRef>
                    <c:extLst xmlns:c15="http://schemas.microsoft.com/office/drawing/2012/chart">
                      <c:ext xmlns:c15="http://schemas.microsoft.com/office/drawing/2012/chart" uri="{02D57815-91ED-43cb-92C2-25804820EDAC}">
                        <c15:formulaRef>
                          <c15:sqref>'Model Summary'!#REF!</c15:sqref>
                        </c15:formulaRef>
                      </c:ext>
                    </c:extLst>
                    <c:numCache>
                      <c:formatCode>General</c:formatCode>
                      <c:ptCount val="1"/>
                      <c:pt idx="0">
                        <c:v>1</c:v>
                      </c:pt>
                    </c:numCache>
                  </c:numRef>
                </c:yVal>
                <c:smooth val="0"/>
                <c:extLst xmlns:c15="http://schemas.microsoft.com/office/drawing/2012/chart">
                  <c:ext xmlns:c16="http://schemas.microsoft.com/office/drawing/2014/chart" uri="{C3380CC4-5D6E-409C-BE32-E72D297353CC}">
                    <c16:uniqueId val="{00000008-AF36-4D47-9BE5-F54502226BA8}"/>
                  </c:ext>
                </c:extLst>
              </c15:ser>
            </c15:filteredScatterSeries>
          </c:ext>
        </c:extLst>
      </c:scatterChart>
      <c:valAx>
        <c:axId val="573574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WTD (cm)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73576496"/>
        <c:crosses val="autoZero"/>
        <c:crossBetween val="midCat"/>
      </c:valAx>
      <c:valAx>
        <c:axId val="573576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Methane emissions (T CO2-e/ha/yr)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73574200"/>
        <c:crossesAt val="-20"/>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Changes in </a:t>
            </a:r>
            <a:r>
              <a:rPr lang="en-US" b="1" baseline="0">
                <a:solidFill>
                  <a:sysClr val="windowText" lastClr="000000"/>
                </a:solidFill>
              </a:rPr>
              <a:t>emissions by gas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7021-4270-A46A-E583BF6FCA23}"/>
              </c:ext>
            </c:extLst>
          </c:dPt>
          <c:dPt>
            <c:idx val="1"/>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021-4270-A46A-E583BF6FCA23}"/>
              </c:ext>
            </c:extLst>
          </c:dPt>
          <c:dPt>
            <c:idx val="2"/>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5-7021-4270-A46A-E583BF6FCA23}"/>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021-4270-A46A-E583BF6FCA23}"/>
              </c:ext>
            </c:extLst>
          </c:dPt>
          <c:cat>
            <c:strRef>
              <c:f>(Calculator!$N$54,Calculator!$N$56,Calculator!$N$58,Calculator!$N$60)</c:f>
              <c:strCache>
                <c:ptCount val="4"/>
                <c:pt idx="0">
                  <c:v>Carbon dioxide</c:v>
                </c:pt>
                <c:pt idx="1">
                  <c:v>Methane</c:v>
                </c:pt>
                <c:pt idx="2">
                  <c:v>Nitrous Oxide</c:v>
                </c:pt>
                <c:pt idx="3">
                  <c:v>Overall change</c:v>
                </c:pt>
              </c:strCache>
            </c:strRef>
          </c:cat>
          <c:val>
            <c:numRef>
              <c:f>(Calculator!$W$54,Calculator!$W$56,Calculator!$W$58,Calculator!$W$60)</c:f>
              <c:numCache>
                <c:formatCode>0.0</c:formatCode>
                <c:ptCount val="4"/>
                <c:pt idx="0">
                  <c:v>#N/A</c:v>
                </c:pt>
                <c:pt idx="1">
                  <c:v>#N/A</c:v>
                </c:pt>
                <c:pt idx="2">
                  <c:v>0</c:v>
                </c:pt>
                <c:pt idx="3">
                  <c:v>#N/A</c:v>
                </c:pt>
              </c:numCache>
            </c:numRef>
          </c:val>
          <c:extLst>
            <c:ext xmlns:c16="http://schemas.microsoft.com/office/drawing/2014/chart" uri="{C3380CC4-5D6E-409C-BE32-E72D297353CC}">
              <c16:uniqueId val="{00000008-7021-4270-A46A-E583BF6FCA23}"/>
            </c:ext>
          </c:extLst>
        </c:ser>
        <c:dLbls>
          <c:showLegendKey val="0"/>
          <c:showVal val="0"/>
          <c:showCatName val="0"/>
          <c:showSerName val="0"/>
          <c:showPercent val="0"/>
          <c:showBubbleSize val="0"/>
        </c:dLbls>
        <c:gapWidth val="100"/>
        <c:axId val="513299160"/>
        <c:axId val="513306704"/>
      </c:barChart>
      <c:valAx>
        <c:axId val="513306704"/>
        <c:scaling>
          <c:orientation val="minMax"/>
        </c:scaling>
        <c:delete val="0"/>
        <c:axPos val="b"/>
        <c:majorGridlines>
          <c:spPr>
            <a:ln w="9525" cap="flat" cmpd="sng" algn="ctr">
              <a:solidFill>
                <a:schemeClr val="bg2">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 CO2-e/yr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299160"/>
        <c:crosses val="autoZero"/>
        <c:crossBetween val="between"/>
      </c:valAx>
      <c:catAx>
        <c:axId val="513299160"/>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13306704"/>
        <c:crosses val="autoZero"/>
        <c:auto val="1"/>
        <c:lblAlgn val="ctr"/>
        <c:lblOffset val="100"/>
        <c:noMultiLvlLbl val="0"/>
      </c:cat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(Calculator!$M$67,Calculator!$I$68:$I$72,Calculator!$M$73)</c:f>
              <c:strCache>
                <c:ptCount val="7"/>
                <c:pt idx="0">
                  <c:v>Modified Fen</c:v>
                </c:pt>
                <c:pt idx="1">
                  <c:v>Year 1</c:v>
                </c:pt>
                <c:pt idx="2">
                  <c:v>Year 2</c:v>
                </c:pt>
                <c:pt idx="3">
                  <c:v>Year 3</c:v>
                </c:pt>
                <c:pt idx="4">
                  <c:v>Year 4</c:v>
                </c:pt>
                <c:pt idx="5">
                  <c:v>Year 5</c:v>
                </c:pt>
                <c:pt idx="6">
                  <c:v>Near-natural Fen</c:v>
                </c:pt>
              </c:strCache>
            </c:strRef>
          </c:cat>
          <c:val>
            <c:numRef>
              <c:f>(Calculator!$N$67,Calculator!$J$68:$J$72,Calculator!$N$73)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5B3D-4CD8-9705-C2E8DEFDC134}"/>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greenhouse gas balance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(Calculator!$M$75,Calculator!$I$77:$I$81,Calculator!$M$82)</c:f>
              <c:strCache>
                <c:ptCount val="7"/>
                <c:pt idx="0">
                  <c:v>Modified Fen</c:v>
                </c:pt>
                <c:pt idx="1">
                  <c:v>Year 1</c:v>
                </c:pt>
                <c:pt idx="2">
                  <c:v>Year 2</c:v>
                </c:pt>
                <c:pt idx="3">
                  <c:v>Year 3</c:v>
                </c:pt>
                <c:pt idx="4">
                  <c:v>Year 4</c:v>
                </c:pt>
                <c:pt idx="5">
                  <c:v>Year 5</c:v>
                </c:pt>
                <c:pt idx="6">
                  <c:v>Near-natural Fen</c:v>
                </c:pt>
              </c:strCache>
            </c:strRef>
          </c:cat>
          <c:val>
            <c:numRef>
              <c:f>(Calculator!$N$75,Calculator!$J$77:$J$81,Calculator!$N$82)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414B-4626-ABC7-64E3C5746E32}"/>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CO2-e/ha/yr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b="1">
                <a:solidFill>
                  <a:schemeClr val="tx1"/>
                </a:solidFill>
              </a:rPr>
              <a:t>Annual nitrous oxide emissions during 5-year transition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strRef>
              <c:f>(Calculator!$Y$67,Calculator!$V$68:$V$72,Calculator!$Y$73)</c:f>
              <c:strCache>
                <c:ptCount val="7"/>
                <c:pt idx="0">
                  <c:v>Modified Fen</c:v>
                </c:pt>
                <c:pt idx="1">
                  <c:v>Year 1</c:v>
                </c:pt>
                <c:pt idx="2">
                  <c:v>Year 2</c:v>
                </c:pt>
                <c:pt idx="3">
                  <c:v>Year 3</c:v>
                </c:pt>
                <c:pt idx="4">
                  <c:v>Year 4</c:v>
                </c:pt>
                <c:pt idx="5">
                  <c:v>Year 5</c:v>
                </c:pt>
                <c:pt idx="6">
                  <c:v>Near-natural Fen</c:v>
                </c:pt>
              </c:strCache>
            </c:strRef>
          </c:cat>
          <c:val>
            <c:numRef>
              <c:f>(Calculator!$Z$67,Calculator!$W$68:$W$72,Calculator!$Z$73)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2779-4C72-B16E-8F92FC838D3F}"/>
            </c:ext>
          </c:extLst>
        </c:ser>
        <c:dLbls>
          <c:showLegendKey val="0"/>
          <c:showVal val="0"/>
          <c:showCatName val="0"/>
          <c:showSerName val="0"/>
          <c:showPercent val="0"/>
          <c:showBubbleSize val="0"/>
        </c:dLbls>
        <c:gapWidth val="219"/>
        <c:overlap val="-27"/>
        <c:axId val="17032368"/>
        <c:axId val="17026544"/>
      </c:barChart>
      <c:catAx>
        <c:axId val="17032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26544"/>
        <c:crosses val="autoZero"/>
        <c:auto val="1"/>
        <c:lblAlgn val="ctr"/>
        <c:lblOffset val="100"/>
        <c:noMultiLvlLbl val="0"/>
      </c:catAx>
      <c:valAx>
        <c:axId val="1702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rPr>
                  <a:t>t</a:t>
                </a:r>
                <a:r>
                  <a:rPr lang="en-GB" baseline="0">
                    <a:solidFill>
                      <a:schemeClr val="tx1"/>
                    </a:solidFill>
                  </a:rPr>
                  <a:t> CO2-e/yr</a:t>
                </a:r>
                <a:endParaRPr lang="en-GB">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032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tinyurl.com/3xbdn53h" TargetMode="External"/><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hyperlink" Target="https://doi.org/10.1038/s41586-021-03523-1" TargetMode="External"/><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0" Type="http://schemas.openxmlformats.org/officeDocument/2006/relationships/chart" Target="../charts/chart20.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0</xdr:col>
      <xdr:colOff>642938</xdr:colOff>
      <xdr:row>1</xdr:row>
      <xdr:rowOff>4762</xdr:rowOff>
    </xdr:from>
    <xdr:to>
      <xdr:col>17</xdr:col>
      <xdr:colOff>0</xdr:colOff>
      <xdr:row>74</xdr:row>
      <xdr:rowOff>176892</xdr:rowOff>
    </xdr:to>
    <xdr:sp macro="" textlink="">
      <xdr:nvSpPr>
        <xdr:cNvPr id="2" name="Rectangle 1">
          <a:extLst>
            <a:ext uri="{FF2B5EF4-FFF2-40B4-BE49-F238E27FC236}">
              <a16:creationId xmlns:a16="http://schemas.microsoft.com/office/drawing/2014/main" id="{90DADFB3-5460-7C80-4F77-661B725EA02E}"/>
            </a:ext>
          </a:extLst>
        </xdr:cNvPr>
        <xdr:cNvSpPr/>
      </xdr:nvSpPr>
      <xdr:spPr>
        <a:xfrm>
          <a:off x="642938" y="188459"/>
          <a:ext cx="10344831" cy="13581969"/>
        </a:xfrm>
        <a:prstGeom prst="rect">
          <a:avLst/>
        </a:prstGeom>
        <a:solidFill>
          <a:schemeClr val="tx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5</xdr:col>
      <xdr:colOff>62</xdr:colOff>
      <xdr:row>29</xdr:row>
      <xdr:rowOff>29082</xdr:rowOff>
    </xdr:from>
    <xdr:to>
      <xdr:col>13</xdr:col>
      <xdr:colOff>9258</xdr:colOff>
      <xdr:row>50</xdr:row>
      <xdr:rowOff>124338</xdr:rowOff>
    </xdr:to>
    <xdr:pic>
      <xdr:nvPicPr>
        <xdr:cNvPr id="4" name="Picture 3">
          <a:extLst>
            <a:ext uri="{FF2B5EF4-FFF2-40B4-BE49-F238E27FC236}">
              <a16:creationId xmlns:a16="http://schemas.microsoft.com/office/drawing/2014/main" id="{6C89E9A6-6D2C-BA0D-2CD4-9551DB32AA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1759" y="5356279"/>
          <a:ext cx="5179910" cy="3952880"/>
        </a:xfrm>
        <a:prstGeom prst="rect">
          <a:avLst/>
        </a:prstGeom>
        <a:ln w="19050">
          <a:solidFill>
            <a:schemeClr val="bg2"/>
          </a:solidFill>
        </a:ln>
      </xdr:spPr>
    </xdr:pic>
    <xdr:clientData/>
  </xdr:twoCellAnchor>
  <xdr:twoCellAnchor editAs="absolute">
    <xdr:from>
      <xdr:col>2</xdr:col>
      <xdr:colOff>18554</xdr:colOff>
      <xdr:row>6</xdr:row>
      <xdr:rowOff>16079</xdr:rowOff>
    </xdr:from>
    <xdr:to>
      <xdr:col>16</xdr:col>
      <xdr:colOff>6803</xdr:colOff>
      <xdr:row>13</xdr:row>
      <xdr:rowOff>130503</xdr:rowOff>
    </xdr:to>
    <xdr:sp macro="" textlink="">
      <xdr:nvSpPr>
        <xdr:cNvPr id="5" name="TextBox 4">
          <a:extLst>
            <a:ext uri="{FF2B5EF4-FFF2-40B4-BE49-F238E27FC236}">
              <a16:creationId xmlns:a16="http://schemas.microsoft.com/office/drawing/2014/main" id="{F7962AC4-557F-89C5-0A24-612B7CEF7D71}"/>
            </a:ext>
          </a:extLst>
        </xdr:cNvPr>
        <xdr:cNvSpPr txBox="1"/>
      </xdr:nvSpPr>
      <xdr:spPr>
        <a:xfrm>
          <a:off x="1311233" y="567169"/>
          <a:ext cx="9036999" cy="1400298"/>
        </a:xfrm>
        <a:prstGeom prst="rect">
          <a:avLst/>
        </a:prstGeom>
        <a:noFill/>
        <a:ln w="19050" cmpd="sng">
          <a:solidFill>
            <a:schemeClr val="bg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4000">
              <a:solidFill>
                <a:schemeClr val="bg2"/>
              </a:solidFill>
            </a:rPr>
            <a:t>UK (Fen) Peatland Carbon Calculator</a:t>
          </a:r>
        </a:p>
      </xdr:txBody>
    </xdr:sp>
    <xdr:clientData/>
  </xdr:twoCellAnchor>
  <xdr:twoCellAnchor editAs="absolute">
    <xdr:from>
      <xdr:col>2</xdr:col>
      <xdr:colOff>3843</xdr:colOff>
      <xdr:row>64</xdr:row>
      <xdr:rowOff>73609</xdr:rowOff>
    </xdr:from>
    <xdr:to>
      <xdr:col>16</xdr:col>
      <xdr:colOff>0</xdr:colOff>
      <xdr:row>71</xdr:row>
      <xdr:rowOff>12992</xdr:rowOff>
    </xdr:to>
    <xdr:sp macro="" textlink="">
      <xdr:nvSpPr>
        <xdr:cNvPr id="6" name="TextBox 5">
          <a:hlinkClick xmlns:r="http://schemas.openxmlformats.org/officeDocument/2006/relationships" r:id="rId2"/>
          <a:extLst>
            <a:ext uri="{FF2B5EF4-FFF2-40B4-BE49-F238E27FC236}">
              <a16:creationId xmlns:a16="http://schemas.microsoft.com/office/drawing/2014/main" id="{CE21A5BB-5672-4BD5-819E-838B70B904E3}"/>
            </a:ext>
          </a:extLst>
        </xdr:cNvPr>
        <xdr:cNvSpPr txBox="1"/>
      </xdr:nvSpPr>
      <xdr:spPr>
        <a:xfrm>
          <a:off x="1288358" y="11830180"/>
          <a:ext cx="9053071" cy="1225259"/>
        </a:xfrm>
        <a:prstGeom prst="rect">
          <a:avLst/>
        </a:prstGeom>
        <a:noFill/>
        <a:ln w="9525" cmpd="sng">
          <a:solidFill>
            <a:schemeClr val="bg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This calculator was produced to accompany the following report:</a:t>
          </a:r>
          <a:endParaRPr lang="en-US" sz="1100" u="none">
            <a:solidFill>
              <a:schemeClr val="bg2"/>
            </a:solidFill>
            <a:effectLst/>
            <a:latin typeface="+mn-lt"/>
            <a:ea typeface="+mn-ea"/>
            <a:cs typeface="+mn-cs"/>
          </a:endParaRPr>
        </a:p>
        <a:p>
          <a:endParaRPr lang="en-US" sz="1100" u="sng"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none" baseline="0">
              <a:solidFill>
                <a:schemeClr val="bg2"/>
              </a:solidFill>
              <a:effectLst/>
              <a:latin typeface="+mn-lt"/>
              <a:ea typeface="+mn-ea"/>
              <a:cs typeface="+mn-cs"/>
            </a:rPr>
            <a:t>- Evans, C., Artz, R., Burden, A., Clilverd, H., Freeman, B., Heiniemeyer, A., Lindsay, R., Morrison, R., Potts, J., Reed, M., Williamson, J., 2023. Aligning the peatland code with the UK peatland inventory. Report to Defra and the IUCN Peatland Programme, March 2022 (Updated January 2023). Available at: </a:t>
          </a:r>
          <a:r>
            <a:rPr lang="en-GB" sz="1100" u="none" baseline="0">
              <a:solidFill>
                <a:schemeClr val="bg2"/>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https://tinyurl.com/3xbdn53h</a:t>
          </a:r>
          <a:r>
            <a:rPr lang="en-GB" sz="1100" u="none" baseline="0">
              <a:solidFill>
                <a:schemeClr val="bg2"/>
              </a:solidFill>
              <a:effectLst/>
              <a:latin typeface="+mn-lt"/>
              <a:ea typeface="+mn-ea"/>
              <a:cs typeface="+mn-cs"/>
            </a:rPr>
            <a:t> </a:t>
          </a:r>
        </a:p>
      </xdr:txBody>
    </xdr:sp>
    <xdr:clientData/>
  </xdr:twoCellAnchor>
  <xdr:twoCellAnchor editAs="absolute">
    <xdr:from>
      <xdr:col>4</xdr:col>
      <xdr:colOff>594015</xdr:colOff>
      <xdr:row>49</xdr:row>
      <xdr:rowOff>1249</xdr:rowOff>
    </xdr:from>
    <xdr:to>
      <xdr:col>6</xdr:col>
      <xdr:colOff>43296</xdr:colOff>
      <xdr:row>51</xdr:row>
      <xdr:rowOff>1249</xdr:rowOff>
    </xdr:to>
    <xdr:sp macro="" textlink="">
      <xdr:nvSpPr>
        <xdr:cNvPr id="8" name="TextBox 7">
          <a:extLst>
            <a:ext uri="{FF2B5EF4-FFF2-40B4-BE49-F238E27FC236}">
              <a16:creationId xmlns:a16="http://schemas.microsoft.com/office/drawing/2014/main" id="{2D932F96-50F0-4F97-AAFD-B05D2B3DC70B}"/>
            </a:ext>
          </a:extLst>
        </xdr:cNvPr>
        <xdr:cNvSpPr txBox="1"/>
      </xdr:nvSpPr>
      <xdr:spPr>
        <a:xfrm>
          <a:off x="3179372" y="9002375"/>
          <a:ext cx="741960" cy="367393"/>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650">
              <a:solidFill>
                <a:schemeClr val="bg2"/>
              </a:solidFill>
            </a:rPr>
            <a:t>Image</a:t>
          </a:r>
          <a:r>
            <a:rPr lang="en-GB" sz="650" baseline="0">
              <a:solidFill>
                <a:schemeClr val="bg2"/>
              </a:solidFill>
            </a:rPr>
            <a:t> c</a:t>
          </a:r>
          <a:r>
            <a:rPr lang="en-GB" sz="650">
              <a:solidFill>
                <a:schemeClr val="bg2"/>
              </a:solidFill>
            </a:rPr>
            <a:t>redit: Chris Evans</a:t>
          </a:r>
        </a:p>
      </xdr:txBody>
    </xdr:sp>
    <xdr:clientData/>
  </xdr:twoCellAnchor>
  <xdr:twoCellAnchor editAs="absolute">
    <xdr:from>
      <xdr:col>7</xdr:col>
      <xdr:colOff>560</xdr:colOff>
      <xdr:row>18</xdr:row>
      <xdr:rowOff>51670</xdr:rowOff>
    </xdr:from>
    <xdr:to>
      <xdr:col>11</xdr:col>
      <xdr:colOff>8658</xdr:colOff>
      <xdr:row>24</xdr:row>
      <xdr:rowOff>149833</xdr:rowOff>
    </xdr:to>
    <xdr:pic>
      <xdr:nvPicPr>
        <xdr:cNvPr id="9" name="Picture 8">
          <a:extLst>
            <a:ext uri="{FF2B5EF4-FFF2-40B4-BE49-F238E27FC236}">
              <a16:creationId xmlns:a16="http://schemas.microsoft.com/office/drawing/2014/main" id="{EA11E9F2-E8E4-BA81-2FD2-E10D62BC11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16771" y="3358206"/>
          <a:ext cx="2601620" cy="1200341"/>
        </a:xfrm>
        <a:prstGeom prst="rect">
          <a:avLst/>
        </a:prstGeom>
      </xdr:spPr>
    </xdr:pic>
    <xdr:clientData/>
  </xdr:twoCellAnchor>
  <xdr:twoCellAnchor editAs="absolute">
    <xdr:from>
      <xdr:col>5</xdr:col>
      <xdr:colOff>3092</xdr:colOff>
      <xdr:row>53</xdr:row>
      <xdr:rowOff>161055</xdr:rowOff>
    </xdr:from>
    <xdr:to>
      <xdr:col>13</xdr:col>
      <xdr:colOff>17317</xdr:colOff>
      <xdr:row>62</xdr:row>
      <xdr:rowOff>123701</xdr:rowOff>
    </xdr:to>
    <xdr:sp macro="" textlink="">
      <xdr:nvSpPr>
        <xdr:cNvPr id="10" name="TextBox 9">
          <a:extLst>
            <a:ext uri="{FF2B5EF4-FFF2-40B4-BE49-F238E27FC236}">
              <a16:creationId xmlns:a16="http://schemas.microsoft.com/office/drawing/2014/main" id="{098FA48B-8E38-489F-85EB-FC149008F2AE}"/>
            </a:ext>
          </a:extLst>
        </xdr:cNvPr>
        <xdr:cNvSpPr txBox="1"/>
      </xdr:nvSpPr>
      <xdr:spPr>
        <a:xfrm>
          <a:off x="3234789" y="9896966"/>
          <a:ext cx="5184939" cy="1615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br>
            <a:rPr lang="en-GB" sz="1100" b="1" u="sng">
              <a:solidFill>
                <a:schemeClr val="bg2"/>
              </a:solidFill>
            </a:rPr>
          </a:br>
          <a:r>
            <a:rPr lang="en-GB" sz="1100" b="1" u="sng">
              <a:solidFill>
                <a:schemeClr val="bg2"/>
              </a:solidFill>
            </a:rPr>
            <a:t>Developed</a:t>
          </a:r>
          <a:r>
            <a:rPr lang="en-GB" sz="1100" b="1" u="sng" baseline="0">
              <a:solidFill>
                <a:schemeClr val="bg2"/>
              </a:solidFill>
            </a:rPr>
            <a:t> by:</a:t>
          </a:r>
          <a:endParaRPr lang="en-GB" sz="1100" b="1" u="sng">
            <a:solidFill>
              <a:schemeClr val="bg2"/>
            </a:solidFill>
          </a:endParaRPr>
        </a:p>
      </xdr:txBody>
    </xdr:sp>
    <xdr:clientData/>
  </xdr:twoCellAnchor>
  <xdr:twoCellAnchor editAs="absolute">
    <xdr:from>
      <xdr:col>5</xdr:col>
      <xdr:colOff>379133</xdr:colOff>
      <xdr:row>57</xdr:row>
      <xdr:rowOff>119377</xdr:rowOff>
    </xdr:from>
    <xdr:to>
      <xdr:col>8</xdr:col>
      <xdr:colOff>285196</xdr:colOff>
      <xdr:row>60</xdr:row>
      <xdr:rowOff>68735</xdr:rowOff>
    </xdr:to>
    <xdr:pic>
      <xdr:nvPicPr>
        <xdr:cNvPr id="16" name="Picture 15">
          <a:extLst>
            <a:ext uri="{FF2B5EF4-FFF2-40B4-BE49-F238E27FC236}">
              <a16:creationId xmlns:a16="http://schemas.microsoft.com/office/drawing/2014/main" id="{7A78515B-FA4E-48C4-C45B-ED280F08FA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0830" y="10590074"/>
          <a:ext cx="1845080" cy="500447"/>
        </a:xfrm>
        <a:prstGeom prst="rect">
          <a:avLst/>
        </a:prstGeom>
      </xdr:spPr>
    </xdr:pic>
    <xdr:clientData/>
  </xdr:twoCellAnchor>
  <xdr:twoCellAnchor editAs="absolute">
    <xdr:from>
      <xdr:col>10</xdr:col>
      <xdr:colOff>232450</xdr:colOff>
      <xdr:row>57</xdr:row>
      <xdr:rowOff>104017</xdr:rowOff>
    </xdr:from>
    <xdr:to>
      <xdr:col>11</xdr:col>
      <xdr:colOff>433503</xdr:colOff>
      <xdr:row>60</xdr:row>
      <xdr:rowOff>49492</xdr:rowOff>
    </xdr:to>
    <xdr:pic>
      <xdr:nvPicPr>
        <xdr:cNvPr id="20" name="Picture 19">
          <a:extLst>
            <a:ext uri="{FF2B5EF4-FFF2-40B4-BE49-F238E27FC236}">
              <a16:creationId xmlns:a16="http://schemas.microsoft.com/office/drawing/2014/main" id="{746E165E-571A-2B0D-D3B7-135053605F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95843" y="10574714"/>
          <a:ext cx="847393" cy="496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4</xdr:row>
      <xdr:rowOff>180971</xdr:rowOff>
    </xdr:from>
    <xdr:to>
      <xdr:col>18</xdr:col>
      <xdr:colOff>0</xdr:colOff>
      <xdr:row>33</xdr:row>
      <xdr:rowOff>4764</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47700" y="1057271"/>
          <a:ext cx="11010900" cy="5072068"/>
        </a:xfrm>
        <a:prstGeom prst="rect">
          <a:avLst/>
        </a:prstGeom>
        <a:solidFill>
          <a:schemeClr val="tx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Background</a:t>
          </a:r>
        </a:p>
        <a:p>
          <a:endParaRPr lang="en-GB" sz="1100">
            <a:solidFill>
              <a:schemeClr val="bg2"/>
            </a:solidFill>
          </a:endParaRPr>
        </a:p>
        <a:p>
          <a:r>
            <a:rPr lang="en-GB" sz="1100">
              <a:solidFill>
                <a:schemeClr val="bg2"/>
              </a:solidFill>
            </a:rPr>
            <a:t>This calculator</a:t>
          </a:r>
          <a:r>
            <a:rPr lang="en-GB" sz="1100" baseline="0">
              <a:solidFill>
                <a:schemeClr val="bg2"/>
              </a:solidFill>
            </a:rPr>
            <a:t> is designed to help estimate how land use change may affect greenhouse gas (GHG) emissions from Fen peatlands. </a:t>
          </a:r>
        </a:p>
        <a:p>
          <a:endParaRPr lang="en-GB" sz="1100" baseline="0">
            <a:solidFill>
              <a:schemeClr val="bg2"/>
            </a:solidFill>
          </a:endParaRPr>
        </a:p>
        <a:p>
          <a:r>
            <a:rPr lang="en-GB" sz="1100" baseline="0">
              <a:solidFill>
                <a:schemeClr val="bg2"/>
              </a:solidFill>
            </a:rPr>
            <a:t>It currently estimates emissions of carbon dioxide (CO</a:t>
          </a:r>
          <a:r>
            <a:rPr lang="en-GB" sz="1100" baseline="-25000">
              <a:solidFill>
                <a:schemeClr val="bg2"/>
              </a:solidFill>
            </a:rPr>
            <a:t>2</a:t>
          </a:r>
          <a:r>
            <a:rPr lang="en-GB" sz="1100" baseline="0">
              <a:solidFill>
                <a:schemeClr val="bg2"/>
              </a:solidFill>
            </a:rPr>
            <a:t>), methane (CH</a:t>
          </a:r>
          <a:r>
            <a:rPr lang="en-GB" sz="1100" baseline="-25000">
              <a:solidFill>
                <a:schemeClr val="bg2"/>
              </a:solidFill>
            </a:rPr>
            <a:t>4</a:t>
          </a:r>
          <a:r>
            <a:rPr lang="en-GB" sz="1100" baseline="0">
              <a:solidFill>
                <a:schemeClr val="bg2"/>
              </a:solidFill>
            </a:rPr>
            <a:t>) and nitrous oxide (N</a:t>
          </a:r>
          <a:r>
            <a:rPr lang="en-GB" sz="1100" baseline="-25000">
              <a:solidFill>
                <a:schemeClr val="bg2"/>
              </a:solidFill>
            </a:rPr>
            <a:t>2</a:t>
          </a:r>
          <a:r>
            <a:rPr lang="en-GB" sz="1100" baseline="0">
              <a:solidFill>
                <a:schemeClr val="bg2"/>
              </a:solidFill>
            </a:rPr>
            <a:t>O). </a:t>
          </a:r>
        </a:p>
        <a:p>
          <a:endParaRPr lang="en-GB" sz="1100" baseline="0">
            <a:solidFill>
              <a:schemeClr val="bg2"/>
            </a:solidFill>
          </a:endParaRPr>
        </a:p>
        <a:p>
          <a:r>
            <a:rPr lang="en-GB" sz="1100" baseline="0">
              <a:solidFill>
                <a:schemeClr val="bg2"/>
              </a:solidFill>
            </a:rPr>
            <a:t>It uses a combination of Tier 1 and Tier 2 emission factors (EFs), and emission estimates derived from the site's effective water table depth (WTDe; Evans et al., 2021).</a:t>
          </a:r>
        </a:p>
        <a:p>
          <a:endParaRPr lang="en-GB" sz="1100" baseline="0">
            <a:solidFill>
              <a:schemeClr val="bg2"/>
            </a:solidFill>
          </a:endParaRPr>
        </a:p>
        <a:p>
          <a:r>
            <a:rPr lang="en-GB" sz="1100" baseline="0">
              <a:solidFill>
                <a:schemeClr val="bg2"/>
              </a:solidFill>
            </a:rPr>
            <a:t>WTDe is the smaller of the average peat depth and the average annual water table depth (WTD). It is indicative of the depth of peat that is drained and thus aerated.</a:t>
          </a:r>
        </a:p>
        <a:p>
          <a:endParaRPr lang="en-GB" sz="1100" baseline="0">
            <a:solidFill>
              <a:schemeClr val="bg2"/>
            </a:solidFill>
          </a:endParaRPr>
        </a:p>
        <a:p>
          <a:r>
            <a:rPr lang="en-GB" sz="1100" baseline="0">
              <a:solidFill>
                <a:schemeClr val="bg2"/>
              </a:solidFill>
            </a:rPr>
            <a:t>The calculator uses the AR5 100-year global warming potential (GWP) values to convert </a:t>
          </a:r>
          <a:r>
            <a:rPr kumimoji="0" lang="en-GB" sz="1100" b="0" i="0" u="none" strike="noStrike" kern="0" cap="none" spc="0" normalizeH="0" baseline="0" noProof="0">
              <a:ln>
                <a:noFill/>
              </a:ln>
              <a:solidFill>
                <a:srgbClr val="E7E6E6"/>
              </a:solidFill>
              <a:effectLst/>
              <a:uLnTx/>
              <a:uFillTx/>
              <a:latin typeface="+mn-lt"/>
              <a:ea typeface="+mn-ea"/>
              <a:cs typeface="+mn-cs"/>
            </a:rPr>
            <a:t>CH</a:t>
          </a:r>
          <a:r>
            <a:rPr kumimoji="0" lang="en-GB" sz="1100" b="0" i="0" u="none" strike="noStrike" kern="0" cap="none" spc="0" normalizeH="0" baseline="-25000" noProof="0">
              <a:ln>
                <a:noFill/>
              </a:ln>
              <a:solidFill>
                <a:srgbClr val="E7E6E6"/>
              </a:solidFill>
              <a:effectLst/>
              <a:uLnTx/>
              <a:uFillTx/>
              <a:latin typeface="+mn-lt"/>
              <a:ea typeface="+mn-ea"/>
              <a:cs typeface="+mn-cs"/>
            </a:rPr>
            <a:t>4</a:t>
          </a:r>
          <a:r>
            <a:rPr kumimoji="0" lang="en-GB" sz="1100" b="0" i="0" u="none" strike="noStrike" kern="0" cap="none" spc="0" normalizeH="0" baseline="0" noProof="0">
              <a:ln>
                <a:noFill/>
              </a:ln>
              <a:solidFill>
                <a:srgbClr val="E7E6E6"/>
              </a:solidFill>
              <a:effectLst/>
              <a:uLnTx/>
              <a:uFillTx/>
              <a:latin typeface="+mn-lt"/>
              <a:ea typeface="+mn-ea"/>
              <a:cs typeface="+mn-cs"/>
            </a:rPr>
            <a:t> and N</a:t>
          </a:r>
          <a:r>
            <a:rPr kumimoji="0" lang="en-GB" sz="1100" b="0" i="0" u="none" strike="noStrike" kern="0" cap="none" spc="0" normalizeH="0" baseline="-25000" noProof="0">
              <a:ln>
                <a:noFill/>
              </a:ln>
              <a:solidFill>
                <a:srgbClr val="E7E6E6"/>
              </a:solidFill>
              <a:effectLst/>
              <a:uLnTx/>
              <a:uFillTx/>
              <a:latin typeface="+mn-lt"/>
              <a:ea typeface="+mn-ea"/>
              <a:cs typeface="+mn-cs"/>
            </a:rPr>
            <a:t>2</a:t>
          </a:r>
          <a:r>
            <a:rPr kumimoji="0" lang="en-GB" sz="1100" b="0" i="0" u="none" strike="noStrike" kern="0" cap="none" spc="0" normalizeH="0" baseline="0" noProof="0">
              <a:ln>
                <a:noFill/>
              </a:ln>
              <a:solidFill>
                <a:srgbClr val="E7E6E6"/>
              </a:solidFill>
              <a:effectLst/>
              <a:uLnTx/>
              <a:uFillTx/>
              <a:latin typeface="+mn-lt"/>
              <a:ea typeface="+mn-ea"/>
              <a:cs typeface="+mn-cs"/>
            </a:rPr>
            <a:t>O to CO</a:t>
          </a:r>
          <a:r>
            <a:rPr kumimoji="0" lang="en-GB" sz="1100" b="0" i="0" u="none" strike="noStrike" kern="0" cap="none" spc="0" normalizeH="0" baseline="-25000" noProof="0">
              <a:ln>
                <a:noFill/>
              </a:ln>
              <a:solidFill>
                <a:srgbClr val="E7E6E6"/>
              </a:solidFill>
              <a:effectLst/>
              <a:uLnTx/>
              <a:uFillTx/>
              <a:latin typeface="+mn-lt"/>
              <a:ea typeface="+mn-ea"/>
              <a:cs typeface="+mn-cs"/>
            </a:rPr>
            <a:t>2</a:t>
          </a:r>
          <a:r>
            <a:rPr kumimoji="0" lang="en-GB" sz="1100" b="0" i="0" u="none" strike="noStrike" kern="0" cap="none" spc="0" normalizeH="0" baseline="0" noProof="0">
              <a:ln>
                <a:noFill/>
              </a:ln>
              <a:solidFill>
                <a:srgbClr val="E7E6E6"/>
              </a:solidFill>
              <a:effectLst/>
              <a:uLnTx/>
              <a:uFillTx/>
              <a:latin typeface="+mn-lt"/>
              <a:ea typeface="+mn-ea"/>
              <a:cs typeface="+mn-cs"/>
            </a:rPr>
            <a:t> equivalent (CO</a:t>
          </a:r>
          <a:r>
            <a:rPr kumimoji="0" lang="en-GB" sz="1100" b="0" i="0" u="none" strike="noStrike" kern="0" cap="none" spc="0" normalizeH="0" baseline="-25000" noProof="0">
              <a:ln>
                <a:noFill/>
              </a:ln>
              <a:solidFill>
                <a:srgbClr val="E7E6E6"/>
              </a:solidFill>
              <a:effectLst/>
              <a:uLnTx/>
              <a:uFillTx/>
              <a:latin typeface="+mn-lt"/>
              <a:ea typeface="+mn-ea"/>
              <a:cs typeface="+mn-cs"/>
            </a:rPr>
            <a:t>2</a:t>
          </a:r>
          <a:r>
            <a:rPr kumimoji="0" lang="en-GB" sz="1100" b="0" i="0" u="none" strike="noStrike" kern="0" cap="none" spc="0" normalizeH="0" baseline="0" noProof="0">
              <a:ln>
                <a:noFill/>
              </a:ln>
              <a:solidFill>
                <a:srgbClr val="E7E6E6"/>
              </a:solidFill>
              <a:effectLst/>
              <a:uLnTx/>
              <a:uFillTx/>
              <a:latin typeface="+mn-lt"/>
              <a:ea typeface="+mn-ea"/>
              <a:cs typeface="+mn-cs"/>
            </a:rPr>
            <a:t>-e) in line with </a:t>
          </a:r>
          <a:r>
            <a:rPr lang="en-GB" sz="1100" baseline="0">
              <a:solidFill>
                <a:schemeClr val="bg2"/>
              </a:solidFill>
            </a:rPr>
            <a:t>the UK inventory.</a:t>
          </a:r>
        </a:p>
        <a:p>
          <a:endParaRPr lang="en-GB" sz="1100" baseline="0">
            <a:solidFill>
              <a:schemeClr val="bg2"/>
            </a:solidFill>
          </a:endParaRPr>
        </a:p>
        <a:p>
          <a:r>
            <a:rPr lang="en-GB" sz="1100" baseline="0">
              <a:solidFill>
                <a:schemeClr val="bg2"/>
              </a:solidFill>
            </a:rPr>
            <a:t>The net balance of these GHGs is calculated for the site, for the conditions both before and after the land use change of interest.</a:t>
          </a:r>
        </a:p>
        <a:p>
          <a:endParaRPr lang="en-GB" sz="1100" baseline="0">
            <a:solidFill>
              <a:schemeClr val="bg2"/>
            </a:solidFill>
          </a:endParaRPr>
        </a:p>
        <a:p>
          <a:r>
            <a:rPr lang="en-GB" sz="1100" baseline="0">
              <a:solidFill>
                <a:schemeClr val="bg2"/>
              </a:solidFill>
            </a:rPr>
            <a:t>Using these values the net change in emissions between land uses is then calculated.</a:t>
          </a:r>
        </a:p>
        <a:p>
          <a:endParaRPr lang="en-GB" sz="1100" baseline="0">
            <a:solidFill>
              <a:schemeClr val="bg2"/>
            </a:solidFill>
          </a:endParaRPr>
        </a:p>
        <a:p>
          <a:r>
            <a:rPr lang="en-GB" sz="1100" baseline="0">
              <a:solidFill>
                <a:schemeClr val="bg2"/>
              </a:solidFill>
            </a:rPr>
            <a:t>There is limited evidence for how </a:t>
          </a:r>
          <a:r>
            <a:rPr lang="en-GB" sz="1100" baseline="0">
              <a:solidFill>
                <a:schemeClr val="bg2"/>
              </a:solidFill>
              <a:effectLst/>
              <a:latin typeface="+mn-lt"/>
              <a:ea typeface="+mn-ea"/>
              <a:cs typeface="+mn-cs"/>
            </a:rPr>
            <a:t>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emissions respond intitially when land use intensity is reduced.</a:t>
          </a: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There could possibly be (i) a spike in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emissions in response to increased soil moisture or (ii) lagging higher emissions due to residual higher soil nitrogen stocks.</a:t>
          </a: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Therefore as a precautionary measure, a linear decrease in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emissions is projected over a five-year transition period where such land use changes are modelled.</a:t>
          </a:r>
          <a:endParaRPr lang="en-GB" sz="1100" baseline="0">
            <a:solidFill>
              <a:schemeClr val="bg2"/>
            </a:solidFill>
          </a:endParaRPr>
        </a:p>
        <a:p>
          <a:endParaRPr lang="en-GB" sz="1100" baseline="0">
            <a:solidFill>
              <a:schemeClr val="bg2"/>
            </a:solidFill>
          </a:endParaRPr>
        </a:p>
        <a:p>
          <a:r>
            <a:rPr lang="en-GB" sz="1100" baseline="0">
              <a:solidFill>
                <a:schemeClr val="bg2"/>
              </a:solidFill>
            </a:rPr>
            <a:t>The calculator can produce results for up to five assessment units. It scales the GHG results to the project area and extrapolates them over the project duration.</a:t>
          </a:r>
        </a:p>
        <a:p>
          <a:endParaRPr lang="en-GB" sz="1100" baseline="0">
            <a:solidFill>
              <a:schemeClr val="bg2"/>
            </a:solidFill>
          </a:endParaRPr>
        </a:p>
        <a:p>
          <a:r>
            <a:rPr lang="en-GB" sz="1100" baseline="0">
              <a:solidFill>
                <a:schemeClr val="bg2"/>
              </a:solidFill>
            </a:rPr>
            <a:t>A convenient 'project summary' is also produced, containing a vintage table compliant with the Peatland Code scheme requirements and showing the claimable emissions reduction.</a:t>
          </a:r>
        </a:p>
        <a:p>
          <a:endParaRPr lang="en-GB" sz="1100" baseline="0">
            <a:solidFill>
              <a:schemeClr val="bg2"/>
            </a:solidFill>
          </a:endParaRPr>
        </a:p>
        <a:p>
          <a:r>
            <a:rPr lang="en-GB" sz="1100" baseline="0">
              <a:solidFill>
                <a:schemeClr val="bg2"/>
              </a:solidFill>
            </a:rPr>
            <a:t>This tool should help users to quickly and easily evaluate the potential greenhouse gas benefits of restoration, and the effects of any other land use change of interest.</a:t>
          </a:r>
          <a:endParaRPr lang="en-GB" sz="1100">
            <a:solidFill>
              <a:schemeClr val="bg2"/>
            </a:solidFill>
          </a:endParaRPr>
        </a:p>
      </xdr:txBody>
    </xdr:sp>
    <xdr:clientData/>
  </xdr:twoCellAnchor>
  <xdr:twoCellAnchor editAs="absolute">
    <xdr:from>
      <xdr:col>1</xdr:col>
      <xdr:colOff>14287</xdr:colOff>
      <xdr:row>34</xdr:row>
      <xdr:rowOff>14267</xdr:rowOff>
    </xdr:from>
    <xdr:to>
      <xdr:col>18</xdr:col>
      <xdr:colOff>14287</xdr:colOff>
      <xdr:row>50</xdr:row>
      <xdr:rowOff>171450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61987" y="6319817"/>
          <a:ext cx="11010900" cy="3052783"/>
        </a:xfrm>
        <a:prstGeom prst="rect">
          <a:avLst/>
        </a:prstGeom>
        <a:solidFill>
          <a:schemeClr val="tx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Inputs</a:t>
          </a:r>
        </a:p>
        <a:p>
          <a:endParaRPr lang="en-GB" sz="1100">
            <a:solidFill>
              <a:schemeClr val="bg2"/>
            </a:solidFill>
          </a:endParaRPr>
        </a:p>
        <a:p>
          <a:r>
            <a:rPr lang="en-GB" sz="1100" baseline="0">
              <a:solidFill>
                <a:schemeClr val="bg2"/>
              </a:solidFill>
            </a:rPr>
            <a:t>Use of the calculator is simple and relies on minimal user inputs. The required values for each Assessment Unit (AU) are:</a:t>
          </a:r>
        </a:p>
        <a:p>
          <a:br>
            <a:rPr lang="en-GB" sz="1100" baseline="0">
              <a:solidFill>
                <a:schemeClr val="bg2"/>
              </a:solidFill>
            </a:rPr>
          </a:br>
          <a:r>
            <a:rPr lang="en-GB" sz="1100" baseline="0">
              <a:solidFill>
                <a:schemeClr val="bg2"/>
              </a:solidFill>
            </a:rPr>
            <a:t>- The original land use classification and average annual WTD (prior to land use change), along with the average peat depth at the site.</a:t>
          </a:r>
        </a:p>
        <a:p>
          <a:endParaRPr lang="en-GB" sz="1100" baseline="0">
            <a:solidFill>
              <a:schemeClr val="bg2"/>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rPr>
            <a:t>- </a:t>
          </a:r>
          <a:r>
            <a:rPr lang="en-GB" sz="1100" baseline="0">
              <a:solidFill>
                <a:schemeClr val="bg2"/>
              </a:solidFill>
              <a:effectLst/>
              <a:latin typeface="+mn-lt"/>
              <a:ea typeface="+mn-ea"/>
              <a:cs typeface="+mn-cs"/>
            </a:rPr>
            <a:t>The final land use classification and annual average WTD (following land use change). Peat depth at the site need not change with land use but can (e.g. with topsoil removal).</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effectLst/>
              <a:latin typeface="+mn-lt"/>
              <a:ea typeface="+mn-ea"/>
              <a:cs typeface="+mn-cs"/>
            </a:rPr>
            <a:t>- Users should specify the project duration (and start date) along with the area of each AU under consideration in order to obtain relevant totals.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effectLst/>
              <a:latin typeface="+mn-lt"/>
              <a:ea typeface="+mn-ea"/>
              <a:cs typeface="+mn-cs"/>
            </a:rPr>
            <a:t>In addition, on the project summary page the following are required: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effectLst/>
              <a:latin typeface="+mn-lt"/>
              <a:ea typeface="+mn-ea"/>
              <a:cs typeface="+mn-cs"/>
            </a:rPr>
            <a:t>- Project name, name of person undertaking calculation and date of calculation (for administrative purposes).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bg2"/>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bg2"/>
              </a:solidFill>
              <a:effectLst/>
              <a:latin typeface="+mn-lt"/>
              <a:ea typeface="+mn-ea"/>
              <a:cs typeface="+mn-cs"/>
            </a:rPr>
            <a:t>- A user-defined leakage value. This is required in the calculation of the claimable emissions reduction.</a:t>
          </a:r>
          <a:endParaRPr lang="en-GB" sz="1100" baseline="0">
            <a:solidFill>
              <a:schemeClr val="bg2"/>
            </a:solidFill>
          </a:endParaRPr>
        </a:p>
      </xdr:txBody>
    </xdr:sp>
    <xdr:clientData/>
  </xdr:twoCellAnchor>
  <xdr:twoCellAnchor editAs="absolute">
    <xdr:from>
      <xdr:col>1</xdr:col>
      <xdr:colOff>4763</xdr:colOff>
      <xdr:row>52</xdr:row>
      <xdr:rowOff>9520</xdr:rowOff>
    </xdr:from>
    <xdr:to>
      <xdr:col>18</xdr:col>
      <xdr:colOff>9275</xdr:colOff>
      <xdr:row>306</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4704" y="9489696"/>
          <a:ext cx="11053512" cy="45531186"/>
        </a:xfrm>
        <a:prstGeom prst="rect">
          <a:avLst/>
        </a:prstGeom>
        <a:solidFill>
          <a:schemeClr val="tx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Step-by-step instructions</a:t>
          </a:r>
        </a:p>
        <a:p>
          <a:endParaRPr lang="en-GB" sz="1100">
            <a:solidFill>
              <a:schemeClr val="bg2"/>
            </a:solidFill>
          </a:endParaRPr>
        </a:p>
        <a:p>
          <a:r>
            <a:rPr lang="en-GB" sz="1100">
              <a:solidFill>
                <a:schemeClr val="bg2"/>
              </a:solidFill>
            </a:rPr>
            <a:t>Users should start on the "Calculator" page. All of the user input cells </a:t>
          </a:r>
          <a:r>
            <a:rPr lang="en-GB" sz="1100" baseline="0">
              <a:solidFill>
                <a:schemeClr val="bg2"/>
              </a:solidFill>
            </a:rPr>
            <a:t>are highlighted </a:t>
          </a:r>
          <a:r>
            <a:rPr lang="en-GB" sz="1100" baseline="0">
              <a:solidFill>
                <a:srgbClr val="FFFF00"/>
              </a:solidFill>
            </a:rPr>
            <a:t>yellow</a:t>
          </a:r>
          <a:r>
            <a:rPr lang="en-GB" sz="1100" baseline="0">
              <a:solidFill>
                <a:schemeClr val="bg2"/>
              </a:solidFill>
            </a:rPr>
            <a:t> for ease of identification.</a:t>
          </a:r>
        </a:p>
        <a:p>
          <a:endParaRPr lang="en-GB" sz="1100" baseline="0">
            <a:solidFill>
              <a:schemeClr val="bg2"/>
            </a:solidFill>
          </a:endParaRPr>
        </a:p>
        <a:p>
          <a:r>
            <a:rPr lang="en-GB" sz="1100" baseline="0">
              <a:solidFill>
                <a:schemeClr val="bg2"/>
              </a:solidFill>
            </a:rPr>
            <a:t>1. Enter the project start date and project duration (between 30 and 100 years) by typing these values into the yellow cells indicated in the image below.</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2. Details can then be entered for each assessment unit (AU) in turn. Enter the area of the AU by typing the value into the </a:t>
          </a:r>
          <a:r>
            <a:rPr lang="en-GB" sz="1100" baseline="0">
              <a:solidFill>
                <a:srgbClr val="FFFF00"/>
              </a:solidFill>
            </a:rPr>
            <a:t>yellow</a:t>
          </a:r>
          <a:r>
            <a:rPr lang="en-GB" sz="1100" baseline="0">
              <a:solidFill>
                <a:schemeClr val="bg2"/>
              </a:solidFill>
            </a:rPr>
            <a:t> cell indicated in the image below.</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3. Next, select the land use classification for the AU </a:t>
          </a:r>
          <a:r>
            <a:rPr lang="en-GB" sz="1100" i="1" baseline="0">
              <a:solidFill>
                <a:schemeClr val="bg2"/>
              </a:solidFill>
            </a:rPr>
            <a:t>prior</a:t>
          </a:r>
          <a:r>
            <a:rPr lang="en-GB" sz="1100" baseline="0">
              <a:solidFill>
                <a:schemeClr val="bg2"/>
              </a:solidFill>
            </a:rPr>
            <a:t> to land use change from the drop down menu in the </a:t>
          </a:r>
          <a:r>
            <a:rPr lang="en-GB" sz="1100" baseline="0">
              <a:solidFill>
                <a:srgbClr val="FFFF00"/>
              </a:solidFill>
            </a:rPr>
            <a:t>yellow</a:t>
          </a:r>
          <a:r>
            <a:rPr lang="en-GB" sz="1100" baseline="0">
              <a:solidFill>
                <a:schemeClr val="bg2"/>
              </a:solidFill>
            </a:rPr>
            <a:t> cell indicated in the "Original land use" section.</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4. Enter the average peat depth and average annual water table depth (WTD) for the AU </a:t>
          </a:r>
          <a:r>
            <a:rPr lang="en-GB" sz="1100" i="1" baseline="0">
              <a:solidFill>
                <a:schemeClr val="bg2"/>
              </a:solidFill>
            </a:rPr>
            <a:t>prior</a:t>
          </a:r>
          <a:r>
            <a:rPr lang="en-GB" sz="1100" baseline="0">
              <a:solidFill>
                <a:schemeClr val="bg2"/>
              </a:solidFill>
            </a:rPr>
            <a:t> to land use change to the nearest centimetre. These are entered by typing in the </a:t>
          </a:r>
          <a:r>
            <a:rPr lang="en-GB" sz="1100" baseline="0">
              <a:solidFill>
                <a:srgbClr val="FFFF00"/>
              </a:solidFill>
            </a:rPr>
            <a:t>yellow</a:t>
          </a:r>
          <a:r>
            <a:rPr lang="en-GB" sz="1100" baseline="0">
              <a:solidFill>
                <a:schemeClr val="bg2"/>
              </a:solidFill>
            </a:rPr>
            <a:t> cells indicated by the red dashed box in the image below. WTD input values will be limited to an appropriate range for the land use selected. This range can be seen by the user in the </a:t>
          </a:r>
          <a:r>
            <a:rPr lang="en-GB" sz="1100" baseline="0">
              <a:solidFill>
                <a:schemeClr val="bg1"/>
              </a:solidFill>
            </a:rPr>
            <a:t>white</a:t>
          </a:r>
          <a:r>
            <a:rPr lang="en-GB" sz="1100" baseline="0">
              <a:solidFill>
                <a:schemeClr val="bg2"/>
              </a:solidFill>
            </a:rPr>
            <a:t> cells indicated by the blue dashed box in the image below. </a:t>
          </a:r>
        </a:p>
        <a:p>
          <a:endParaRPr lang="en-GB" sz="1100" baseline="0">
            <a:solidFill>
              <a:schemeClr val="bg2"/>
            </a:solidFill>
          </a:endParaRPr>
        </a:p>
        <a:p>
          <a:r>
            <a:rPr lang="en-GB" sz="1100" i="1" baseline="0">
              <a:solidFill>
                <a:schemeClr val="bg2"/>
              </a:solidFill>
            </a:rPr>
            <a:t>NB: When switching between categories, if the WTD is not changed to a valid value, this will produce an error in the "Warnings" section (visible below the "Inputs" section) and "#NA" will be visible throughout the results sections for that AU. If such a warning occurs in an AU section that you are completing/using, please resolve it before continuing in order to ensure the results produced by the calculator are valid.</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5. Now, specify the land use classification, average annual WTD and average peat depth values for the AU </a:t>
          </a:r>
          <a:r>
            <a:rPr lang="en-GB" sz="1100" i="1" baseline="0">
              <a:solidFill>
                <a:schemeClr val="bg2"/>
              </a:solidFill>
            </a:rPr>
            <a:t>following</a:t>
          </a:r>
          <a:r>
            <a:rPr lang="en-GB" sz="1100" baseline="0">
              <a:solidFill>
                <a:schemeClr val="bg2"/>
              </a:solidFill>
            </a:rPr>
            <a:t> land use change, in the </a:t>
          </a:r>
          <a:r>
            <a:rPr lang="en-GB" sz="1100" baseline="0">
              <a:solidFill>
                <a:srgbClr val="FFFF00"/>
              </a:solidFill>
            </a:rPr>
            <a:t>yellow</a:t>
          </a:r>
          <a:r>
            <a:rPr lang="en-GB" sz="1100" baseline="0">
              <a:solidFill>
                <a:schemeClr val="bg2"/>
              </a:solidFill>
            </a:rPr>
            <a:t> cells in the "Final land use" section. Refer to the guidance in steps 3 and 4 as required. </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6. Check for any warnings in the "Warnings" section below the "Inputs" section for each AU which you have completed. Messages will appear here if required values are missing, invalid WTD values are provided or if land use combinations are entered which are not feasible in practice. Guidance on how to resolve the warning is provided. Please resolve all warnings before proceeding, in order to ensure the results provided by the calculator are valid. </a:t>
          </a:r>
        </a:p>
        <a:p>
          <a:endParaRPr lang="en-GB" sz="1100" baseline="0">
            <a:solidFill>
              <a:schemeClr val="bg2"/>
            </a:solidFill>
          </a:endParaRPr>
        </a:p>
        <a:p>
          <a:r>
            <a:rPr lang="en-GB" sz="1100" i="1" baseline="0">
              <a:solidFill>
                <a:schemeClr val="bg2"/>
              </a:solidFill>
            </a:rPr>
            <a:t>NB: Any AU that is left blank will display the warnings shown in the image below. The warnings for any AU that is left blank can be ignored and will not affect the results of the calculation. You only need to enter values for the AUs in which you are interested.</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7. Once you are happy that you have entered the inputs for an AU correctly, the input sections for further AUs (up to AU5) can be located by scrolling to the right on the "Calculator" page.</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8. The detailed results for each AU can then be inspected both in output tables and graphs. These are presented both on a </a:t>
          </a:r>
          <a:r>
            <a:rPr lang="en-GB" sz="1100" i="1" baseline="0">
              <a:solidFill>
                <a:schemeClr val="bg2"/>
              </a:solidFill>
            </a:rPr>
            <a:t>per hectare</a:t>
          </a:r>
          <a:r>
            <a:rPr lang="en-GB" sz="1100" baseline="0">
              <a:solidFill>
                <a:schemeClr val="bg2"/>
              </a:solidFill>
            </a:rPr>
            <a:t> basis and on an </a:t>
          </a:r>
          <a:r>
            <a:rPr lang="en-GB" sz="1100" i="1" baseline="0">
              <a:solidFill>
                <a:schemeClr val="bg2"/>
              </a:solidFill>
            </a:rPr>
            <a:t>AU area</a:t>
          </a:r>
          <a:r>
            <a:rPr lang="en-GB" sz="1100" baseline="0">
              <a:solidFill>
                <a:schemeClr val="bg2"/>
              </a:solidFill>
            </a:rPr>
            <a:t> basis. For both the Original and Final land uses, the results show the estimated emissions of each of the three GHGs (</a:t>
          </a:r>
          <a:r>
            <a:rPr lang="en-GB" sz="1100" baseline="0">
              <a:solidFill>
                <a:schemeClr val="bg2"/>
              </a:solidFill>
              <a:effectLst/>
              <a:latin typeface="+mn-lt"/>
              <a:ea typeface="+mn-ea"/>
              <a:cs typeface="+mn-cs"/>
            </a:rPr>
            <a:t>CO</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 CH</a:t>
          </a:r>
          <a:r>
            <a:rPr lang="en-GB" sz="1100" baseline="-25000">
              <a:solidFill>
                <a:schemeClr val="bg2"/>
              </a:solidFill>
              <a:effectLst/>
              <a:latin typeface="+mn-lt"/>
              <a:ea typeface="+mn-ea"/>
              <a:cs typeface="+mn-cs"/>
            </a:rPr>
            <a:t>4</a:t>
          </a:r>
          <a:r>
            <a:rPr lang="en-GB" sz="1100" baseline="0">
              <a:solidFill>
                <a:schemeClr val="bg2"/>
              </a:solidFill>
              <a:effectLst/>
              <a:latin typeface="+mn-lt"/>
              <a:ea typeface="+mn-ea"/>
              <a:cs typeface="+mn-cs"/>
            </a:rPr>
            <a:t> and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and their overall balance calculated as CO</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 equivalents (CO</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-e) using the AR5 100-year GWP values. Net emissions are shown as positive values, whilst net uptake is shown by negative values. For example, below, CO</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 uptake (negative), and larger emissions of CH</a:t>
          </a:r>
          <a:r>
            <a:rPr lang="en-GB" sz="1100" baseline="-25000">
              <a:solidFill>
                <a:schemeClr val="bg2"/>
              </a:solidFill>
              <a:effectLst/>
              <a:latin typeface="+mn-lt"/>
              <a:ea typeface="+mn-ea"/>
              <a:cs typeface="+mn-cs"/>
            </a:rPr>
            <a:t>4</a:t>
          </a:r>
          <a:r>
            <a:rPr lang="en-GB" sz="1100" baseline="0">
              <a:solidFill>
                <a:schemeClr val="bg2"/>
              </a:solidFill>
              <a:effectLst/>
              <a:latin typeface="+mn-lt"/>
              <a:ea typeface="+mn-ea"/>
              <a:cs typeface="+mn-cs"/>
            </a:rPr>
            <a:t> (positive), balance out to produce a positive overall GHG balance, showing the site is a net emitter of GHGs under the land use in question.</a:t>
          </a: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The results then also show the net </a:t>
          </a:r>
          <a:r>
            <a:rPr lang="en-GB" sz="1100" i="1" baseline="0">
              <a:solidFill>
                <a:schemeClr val="bg2"/>
              </a:solidFill>
              <a:effectLst/>
              <a:latin typeface="+mn-lt"/>
              <a:ea typeface="+mn-ea"/>
              <a:cs typeface="+mn-cs"/>
            </a:rPr>
            <a:t>change in emissions</a:t>
          </a:r>
          <a:r>
            <a:rPr lang="en-GB" sz="1100" baseline="0">
              <a:solidFill>
                <a:schemeClr val="bg2"/>
              </a:solidFill>
              <a:effectLst/>
              <a:latin typeface="+mn-lt"/>
              <a:ea typeface="+mn-ea"/>
              <a:cs typeface="+mn-cs"/>
            </a:rPr>
            <a:t> between the original and final land uses, for each GHG individually and overall. An increase in emissions is shown as a positive value and flagged </a:t>
          </a:r>
          <a:r>
            <a:rPr lang="en-GB" sz="1100" baseline="0">
              <a:solidFill>
                <a:schemeClr val="accent1">
                  <a:lumMod val="60000"/>
                  <a:lumOff val="40000"/>
                </a:schemeClr>
              </a:solidFill>
              <a:effectLst/>
              <a:latin typeface="+mn-lt"/>
              <a:ea typeface="+mn-ea"/>
              <a:cs typeface="+mn-cs"/>
            </a:rPr>
            <a:t>blue</a:t>
          </a:r>
          <a:r>
            <a:rPr lang="en-GB" sz="1100" baseline="0">
              <a:solidFill>
                <a:schemeClr val="bg2"/>
              </a:solidFill>
              <a:effectLst/>
              <a:latin typeface="+mn-lt"/>
              <a:ea typeface="+mn-ea"/>
              <a:cs typeface="+mn-cs"/>
            </a:rPr>
            <a:t> </a:t>
          </a:r>
          <a:r>
            <a:rPr lang="en-GB" sz="1100" i="1" baseline="0">
              <a:solidFill>
                <a:schemeClr val="bg2"/>
              </a:solidFill>
              <a:effectLst/>
              <a:latin typeface="+mn-lt"/>
              <a:ea typeface="+mn-ea"/>
              <a:cs typeface="+mn-cs"/>
            </a:rPr>
            <a:t>in the results table</a:t>
          </a:r>
          <a:r>
            <a:rPr lang="en-GB" sz="1100" baseline="0">
              <a:solidFill>
                <a:schemeClr val="bg2"/>
              </a:solidFill>
              <a:effectLst/>
              <a:latin typeface="+mn-lt"/>
              <a:ea typeface="+mn-ea"/>
              <a:cs typeface="+mn-cs"/>
            </a:rPr>
            <a:t>, whilst a decrease in emissions is shown as a negative value and flagged </a:t>
          </a:r>
          <a:r>
            <a:rPr lang="en-GB" sz="1100" baseline="0">
              <a:solidFill>
                <a:schemeClr val="accent6">
                  <a:lumMod val="60000"/>
                  <a:lumOff val="40000"/>
                </a:schemeClr>
              </a:solidFill>
              <a:effectLst/>
              <a:latin typeface="+mn-lt"/>
              <a:ea typeface="+mn-ea"/>
              <a:cs typeface="+mn-cs"/>
            </a:rPr>
            <a:t>green</a:t>
          </a:r>
          <a:r>
            <a:rPr lang="en-GB" sz="1100" baseline="0">
              <a:solidFill>
                <a:schemeClr val="bg2"/>
              </a:solidFill>
              <a:effectLst/>
              <a:latin typeface="+mn-lt"/>
              <a:ea typeface="+mn-ea"/>
              <a:cs typeface="+mn-cs"/>
            </a:rPr>
            <a:t>. If there is no change in emissions, this is flagged </a:t>
          </a:r>
          <a:r>
            <a:rPr lang="en-GB" sz="1100" baseline="0">
              <a:solidFill>
                <a:schemeClr val="bg1">
                  <a:lumMod val="75000"/>
                </a:schemeClr>
              </a:solidFill>
              <a:effectLst/>
              <a:latin typeface="+mn-lt"/>
              <a:ea typeface="+mn-ea"/>
              <a:cs typeface="+mn-cs"/>
            </a:rPr>
            <a:t>grey</a:t>
          </a:r>
          <a:r>
            <a:rPr lang="en-GB" sz="1100" baseline="0">
              <a:solidFill>
                <a:schemeClr val="bg2"/>
              </a:solidFill>
              <a:effectLst/>
              <a:latin typeface="+mn-lt"/>
              <a:ea typeface="+mn-ea"/>
              <a:cs typeface="+mn-cs"/>
            </a:rPr>
            <a:t> </a:t>
          </a:r>
          <a:r>
            <a:rPr lang="en-GB" sz="1100" i="1" baseline="0">
              <a:solidFill>
                <a:schemeClr val="bg2"/>
              </a:solidFill>
              <a:effectLst/>
              <a:latin typeface="+mn-lt"/>
              <a:ea typeface="+mn-ea"/>
              <a:cs typeface="+mn-cs"/>
            </a:rPr>
            <a:t>in the results table</a:t>
          </a:r>
          <a:r>
            <a:rPr lang="en-GB" sz="1100" baseline="0">
              <a:solidFill>
                <a:schemeClr val="bg2"/>
              </a:solidFill>
              <a:effectLst/>
              <a:latin typeface="+mn-lt"/>
              <a:ea typeface="+mn-ea"/>
              <a:cs typeface="+mn-cs"/>
            </a:rPr>
            <a:t>. The colours in the graphs do not change depending on emissions values and are simply used to aid visual clarity.</a:t>
          </a: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Where the land use change will result in a lower land use intensity, results for a five-year transition period between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 factors (EFs) are provided. This will be the case with any land use change moving to the right in the following hierarchy, where intensity decreases from left to right and where Modified/Re-wetted/Near-natural Fen are considered equivalent intensity: </a:t>
          </a:r>
        </a:p>
        <a:p>
          <a:endParaRPr lang="en-GB" sz="1100" baseline="0">
            <a:solidFill>
              <a:schemeClr val="bg2"/>
            </a:solidFill>
            <a:effectLst/>
            <a:latin typeface="+mn-lt"/>
            <a:ea typeface="+mn-ea"/>
            <a:cs typeface="+mn-cs"/>
          </a:endParaRPr>
        </a:p>
        <a:p>
          <a:pPr algn="ctr"/>
          <a:r>
            <a:rPr lang="en-GB" sz="1100" b="1" baseline="0">
              <a:solidFill>
                <a:schemeClr val="bg2"/>
              </a:solidFill>
              <a:effectLst/>
              <a:latin typeface="+mn-lt"/>
              <a:ea typeface="+mn-ea"/>
              <a:cs typeface="+mn-cs"/>
            </a:rPr>
            <a:t>Cropland &gt;&gt;&gt; Intensive grassland &gt;&gt;&gt; Extensive grassland &gt;&gt;&gt; Woodland &gt;&gt;&gt; Modified/Re-wetted/Near-natural Fen</a:t>
          </a: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This section shows both how the annual N</a:t>
          </a:r>
          <a:r>
            <a:rPr lang="en-GB" sz="1100" baseline="-25000">
              <a:solidFill>
                <a:schemeClr val="bg2"/>
              </a:solidFill>
              <a:effectLst/>
              <a:latin typeface="+mn-lt"/>
              <a:ea typeface="+mn-ea"/>
              <a:cs typeface="+mn-cs"/>
            </a:rPr>
            <a:t>2</a:t>
          </a:r>
          <a:r>
            <a:rPr lang="en-GB" sz="1100" baseline="0">
              <a:solidFill>
                <a:schemeClr val="bg2"/>
              </a:solidFill>
              <a:effectLst/>
              <a:latin typeface="+mn-lt"/>
              <a:ea typeface="+mn-ea"/>
              <a:cs typeface="+mn-cs"/>
            </a:rPr>
            <a:t>O emissions and overall annual GHG balance change for each year of the transition period.</a:t>
          </a: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The final feature of the "Calculator" page is a summary of results for each AU over the full project duration. Values are provided on a CO2-e basis for all GHGs and as a total greenhouse gas balance. Results produced show (i) total emissions if the land use change </a:t>
          </a:r>
          <a:r>
            <a:rPr lang="en-GB" sz="1100" i="1" baseline="0">
              <a:solidFill>
                <a:schemeClr val="bg2"/>
              </a:solidFill>
              <a:effectLst/>
              <a:latin typeface="+mn-lt"/>
              <a:ea typeface="+mn-ea"/>
              <a:cs typeface="+mn-cs"/>
            </a:rPr>
            <a:t>were not undertaken </a:t>
          </a:r>
          <a:r>
            <a:rPr lang="en-GB" sz="1100" baseline="0">
              <a:solidFill>
                <a:schemeClr val="bg2"/>
              </a:solidFill>
              <a:effectLst/>
              <a:latin typeface="+mn-lt"/>
              <a:ea typeface="+mn-ea"/>
              <a:cs typeface="+mn-cs"/>
            </a:rPr>
            <a:t>(original land use retained for project duration), (ii) total emissions </a:t>
          </a:r>
          <a:r>
            <a:rPr lang="en-GB" sz="1100" i="1" baseline="0">
              <a:solidFill>
                <a:schemeClr val="bg2"/>
              </a:solidFill>
              <a:effectLst/>
              <a:latin typeface="+mn-lt"/>
              <a:ea typeface="+mn-ea"/>
              <a:cs typeface="+mn-cs"/>
            </a:rPr>
            <a:t>with</a:t>
          </a:r>
          <a:r>
            <a:rPr lang="en-GB" sz="1100" baseline="0">
              <a:solidFill>
                <a:schemeClr val="bg2"/>
              </a:solidFill>
              <a:effectLst/>
              <a:latin typeface="+mn-lt"/>
              <a:ea typeface="+mn-ea"/>
              <a:cs typeface="+mn-cs"/>
            </a:rPr>
            <a:t> land use change (final land use established for project duration) and (iii) </a:t>
          </a:r>
          <a:r>
            <a:rPr lang="en-GB" sz="1100" i="1" baseline="0">
              <a:solidFill>
                <a:schemeClr val="bg2"/>
              </a:solidFill>
              <a:effectLst/>
              <a:latin typeface="+mn-lt"/>
              <a:ea typeface="+mn-ea"/>
              <a:cs typeface="+mn-cs"/>
            </a:rPr>
            <a:t>emissions change</a:t>
          </a:r>
          <a:r>
            <a:rPr lang="en-GB" sz="1100" baseline="0">
              <a:solidFill>
                <a:schemeClr val="bg2"/>
              </a:solidFill>
              <a:effectLst/>
              <a:latin typeface="+mn-lt"/>
              <a:ea typeface="+mn-ea"/>
              <a:cs typeface="+mn-cs"/>
            </a:rPr>
            <a:t> resulting from the selected land use change (difference between i and ii).</a:t>
          </a:r>
        </a:p>
        <a:p>
          <a:endParaRPr lang="en-GB" sz="1100" baseline="0">
            <a:solidFill>
              <a:schemeClr val="bg2"/>
            </a:solidFill>
            <a:effectLst/>
            <a:latin typeface="+mn-lt"/>
            <a:ea typeface="+mn-ea"/>
            <a:cs typeface="+mn-cs"/>
          </a:endParaRPr>
        </a:p>
        <a:p>
          <a:r>
            <a:rPr lang="en-GB" sz="1100" baseline="0">
              <a:solidFill>
                <a:schemeClr val="bg2"/>
              </a:solidFill>
              <a:effectLst/>
              <a:latin typeface="+mn-lt"/>
              <a:ea typeface="+mn-ea"/>
              <a:cs typeface="+mn-cs"/>
            </a:rPr>
            <a:t>As above, for the </a:t>
          </a:r>
          <a:r>
            <a:rPr lang="en-GB" sz="1100" i="1" baseline="0">
              <a:solidFill>
                <a:schemeClr val="bg2"/>
              </a:solidFill>
              <a:effectLst/>
              <a:latin typeface="+mn-lt"/>
              <a:ea typeface="+mn-ea"/>
              <a:cs typeface="+mn-cs"/>
            </a:rPr>
            <a:t>emissions change</a:t>
          </a:r>
          <a:r>
            <a:rPr lang="en-GB" sz="1100" baseline="0">
              <a:solidFill>
                <a:schemeClr val="bg2"/>
              </a:solidFill>
              <a:effectLst/>
              <a:latin typeface="+mn-lt"/>
              <a:ea typeface="+mn-ea"/>
              <a:cs typeface="+mn-cs"/>
            </a:rPr>
            <a:t> results, an increase in emissions is shown as a positive value and flagged </a:t>
          </a:r>
          <a:r>
            <a:rPr lang="en-GB" sz="1100" baseline="0">
              <a:solidFill>
                <a:schemeClr val="accent1">
                  <a:lumMod val="60000"/>
                  <a:lumOff val="40000"/>
                </a:schemeClr>
              </a:solidFill>
              <a:effectLst/>
              <a:latin typeface="+mn-lt"/>
              <a:ea typeface="+mn-ea"/>
              <a:cs typeface="+mn-cs"/>
            </a:rPr>
            <a:t>blue</a:t>
          </a:r>
          <a:r>
            <a:rPr lang="en-GB" sz="1100" baseline="0">
              <a:solidFill>
                <a:schemeClr val="bg2"/>
              </a:solidFill>
              <a:effectLst/>
              <a:latin typeface="+mn-lt"/>
              <a:ea typeface="+mn-ea"/>
              <a:cs typeface="+mn-cs"/>
            </a:rPr>
            <a:t> in the results table, whilst a decrease in emissions is shown as a negative value and flagged </a:t>
          </a:r>
          <a:r>
            <a:rPr lang="en-GB" sz="1100" baseline="0">
              <a:solidFill>
                <a:schemeClr val="accent6">
                  <a:lumMod val="60000"/>
                  <a:lumOff val="40000"/>
                </a:schemeClr>
              </a:solidFill>
              <a:effectLst/>
              <a:latin typeface="+mn-lt"/>
              <a:ea typeface="+mn-ea"/>
              <a:cs typeface="+mn-cs"/>
            </a:rPr>
            <a:t>green</a:t>
          </a:r>
          <a:r>
            <a:rPr lang="en-GB" sz="1100" baseline="0">
              <a:solidFill>
                <a:schemeClr val="bg2"/>
              </a:solidFill>
              <a:effectLst/>
              <a:latin typeface="+mn-lt"/>
              <a:ea typeface="+mn-ea"/>
              <a:cs typeface="+mn-cs"/>
            </a:rPr>
            <a:t>. If there is no change in emissions, this is flagged </a:t>
          </a:r>
          <a:r>
            <a:rPr lang="en-GB" sz="1100" baseline="0">
              <a:solidFill>
                <a:schemeClr val="bg1">
                  <a:lumMod val="75000"/>
                </a:schemeClr>
              </a:solidFill>
              <a:effectLst/>
              <a:latin typeface="+mn-lt"/>
              <a:ea typeface="+mn-ea"/>
              <a:cs typeface="+mn-cs"/>
            </a:rPr>
            <a:t>grey</a:t>
          </a:r>
          <a:r>
            <a:rPr lang="en-GB" sz="1100" baseline="0">
              <a:solidFill>
                <a:schemeClr val="bg2"/>
              </a:solidFill>
              <a:effectLst/>
              <a:latin typeface="+mn-lt"/>
              <a:ea typeface="+mn-ea"/>
              <a:cs typeface="+mn-cs"/>
            </a:rPr>
            <a:t> in the results table. </a:t>
          </a:r>
        </a:p>
        <a:p>
          <a:endParaRPr lang="en-GB" sz="1100" baseline="0">
            <a:solidFill>
              <a:schemeClr val="bg2"/>
            </a:solidFill>
            <a:effectLst/>
            <a:latin typeface="+mn-lt"/>
            <a:ea typeface="+mn-ea"/>
            <a:cs typeface="+mn-cs"/>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endParaRPr lang="en-GB" sz="1100">
            <a:solidFill>
              <a:schemeClr val="bg2"/>
            </a:solidFill>
          </a:endParaRPr>
        </a:p>
        <a:p>
          <a:r>
            <a:rPr lang="en-GB" sz="1100">
              <a:solidFill>
                <a:schemeClr val="bg2"/>
              </a:solidFill>
            </a:rPr>
            <a:t>9. Before proceeding to inspect the project summary please</a:t>
          </a:r>
          <a:r>
            <a:rPr lang="en-GB" sz="1100" baseline="0">
              <a:solidFill>
                <a:schemeClr val="bg2"/>
              </a:solidFill>
            </a:rPr>
            <a:t> ensure that (i) any warnings for the AU sections which are in use have been resolved and (ii) the input cells for any AU sections which are not in use are blank.</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9. The inputs for the "Project Summary" page should be entered by typing into the </a:t>
          </a:r>
          <a:r>
            <a:rPr lang="en-GB" sz="1100" baseline="0">
              <a:solidFill>
                <a:srgbClr val="FFFF00"/>
              </a:solidFill>
            </a:rPr>
            <a:t>yellow</a:t>
          </a:r>
          <a:r>
            <a:rPr lang="en-GB" sz="1100" baseline="0">
              <a:solidFill>
                <a:schemeClr val="bg2"/>
              </a:solidFill>
            </a:rPr>
            <a:t> highlighted cells indicated in the image below. Once values have been entered into these cells the highlighting will disappear, producing a convenient, shareable and printable summary. All other cells on this page will calculate automatically and provide summary results for the project calculation. Please take this opportunity to check the the project details shown are correct.</a:t>
          </a:r>
        </a:p>
        <a:p>
          <a:endParaRPr lang="en-GB" sz="1100" baseline="0">
            <a:solidFill>
              <a:schemeClr val="bg2"/>
            </a:solidFill>
          </a:endParaRPr>
        </a:p>
        <a:p>
          <a:r>
            <a:rPr lang="en-GB" sz="1100" baseline="0">
              <a:solidFill>
                <a:schemeClr val="bg2"/>
              </a:solidFill>
            </a:rPr>
            <a:t>This page calculates the claimable emissions reduction for the project. This calculation starts by finding the </a:t>
          </a:r>
          <a:r>
            <a:rPr lang="en-GB" sz="1100" i="1" baseline="0">
              <a:solidFill>
                <a:schemeClr val="bg2"/>
              </a:solidFill>
            </a:rPr>
            <a:t>gross emissions reduction</a:t>
          </a:r>
          <a:r>
            <a:rPr lang="en-GB" sz="1100" baseline="0">
              <a:solidFill>
                <a:schemeClr val="bg2"/>
              </a:solidFill>
            </a:rPr>
            <a:t> for the project, where a positive value indicates a reduction in emissions. Next, in order to calculate the </a:t>
          </a:r>
          <a:r>
            <a:rPr lang="en-GB" sz="1100" i="1" baseline="0">
              <a:solidFill>
                <a:schemeClr val="bg2"/>
              </a:solidFill>
            </a:rPr>
            <a:t>net emissions reduction</a:t>
          </a:r>
          <a:r>
            <a:rPr lang="en-GB" sz="1100" baseline="0">
              <a:solidFill>
                <a:schemeClr val="bg2"/>
              </a:solidFill>
            </a:rPr>
            <a:t>, two adjustments are made to the gross emissions reduction: (i) 10% is subtracted to account for the carbon cost of restoration as well as conservative buffer and (ii) any leakage is subtracted, as specified by the user-defined leakage value. Finally, a 20% risk buffer is then subtracted from the net emissions reduction to produce the </a:t>
          </a:r>
          <a:r>
            <a:rPr lang="en-GB" sz="1100" i="1" baseline="0">
              <a:solidFill>
                <a:schemeClr val="bg2"/>
              </a:solidFill>
            </a:rPr>
            <a:t>claimable emissions reduction</a:t>
          </a:r>
          <a:r>
            <a:rPr lang="en-GB" sz="1100" baseline="0">
              <a:solidFill>
                <a:schemeClr val="bg2"/>
              </a:solidFill>
            </a:rPr>
            <a:t>.</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r>
            <a:rPr lang="en-GB" sz="1100" baseline="0">
              <a:solidFill>
                <a:schemeClr val="bg2"/>
              </a:solidFill>
            </a:rPr>
            <a:t>If you have any questions regarding the use of this calculator please email: </a:t>
          </a:r>
          <a:r>
            <a:rPr lang="en-GB" sz="1100" u="sng" baseline="0">
              <a:solidFill>
                <a:schemeClr val="bg2"/>
              </a:solidFill>
            </a:rPr>
            <a:t>peatlandcode@iucn.org.uk</a:t>
          </a:r>
          <a:r>
            <a:rPr lang="en-GB" sz="1100" baseline="0">
              <a:solidFill>
                <a:schemeClr val="bg2"/>
              </a:solidFill>
            </a:rPr>
            <a:t>  </a:t>
          </a:r>
        </a:p>
        <a:p>
          <a:endParaRPr lang="en-GB" sz="1100" baseline="0">
            <a:solidFill>
              <a:schemeClr val="bg2"/>
            </a:solidFill>
          </a:endParaRPr>
        </a:p>
        <a:p>
          <a:r>
            <a:rPr lang="en-GB" sz="1100" baseline="0">
              <a:solidFill>
                <a:schemeClr val="bg2"/>
              </a:solidFill>
            </a:rPr>
            <a:t>  </a:t>
          </a: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baseline="0">
            <a:solidFill>
              <a:schemeClr val="bg2"/>
            </a:solidFill>
          </a:endParaRPr>
        </a:p>
        <a:p>
          <a:endParaRPr lang="en-GB" sz="1100">
            <a:solidFill>
              <a:schemeClr val="bg2"/>
            </a:solidFill>
          </a:endParaRPr>
        </a:p>
      </xdr:txBody>
    </xdr:sp>
    <xdr:clientData/>
  </xdr:twoCellAnchor>
  <xdr:twoCellAnchor editAs="absolute">
    <xdr:from>
      <xdr:col>1</xdr:col>
      <xdr:colOff>9525</xdr:colOff>
      <xdr:row>307</xdr:row>
      <xdr:rowOff>21580</xdr:rowOff>
    </xdr:from>
    <xdr:to>
      <xdr:col>18</xdr:col>
      <xdr:colOff>9525</xdr:colOff>
      <xdr:row>316</xdr:row>
      <xdr:rowOff>8995</xdr:rowOff>
    </xdr:to>
    <xdr:sp macro="" textlink="">
      <xdr:nvSpPr>
        <xdr:cNvPr id="21" name="TextBox 20">
          <a:hlinkClick xmlns:r="http://schemas.openxmlformats.org/officeDocument/2006/relationships" r:id="rId1"/>
          <a:extLst>
            <a:ext uri="{FF2B5EF4-FFF2-40B4-BE49-F238E27FC236}">
              <a16:creationId xmlns:a16="http://schemas.microsoft.com/office/drawing/2014/main" id="{F4678FAF-EEB0-4F25-8FBE-1C2FDB266D1B}"/>
            </a:ext>
          </a:extLst>
        </xdr:cNvPr>
        <xdr:cNvSpPr txBox="1"/>
      </xdr:nvSpPr>
      <xdr:spPr>
        <a:xfrm>
          <a:off x="659466" y="55221756"/>
          <a:ext cx="11049000" cy="1601063"/>
        </a:xfrm>
        <a:prstGeom prst="rect">
          <a:avLst/>
        </a:prstGeom>
        <a:solidFill>
          <a:schemeClr val="tx2"/>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u="sng">
            <a:solidFill>
              <a:schemeClr val="bg2"/>
            </a:solidFill>
          </a:endParaRPr>
        </a:p>
        <a:p>
          <a:r>
            <a:rPr lang="en-GB" sz="1100" b="1" u="sng">
              <a:solidFill>
                <a:schemeClr val="bg2"/>
              </a:solidFill>
            </a:rPr>
            <a:t>Reference</a:t>
          </a:r>
        </a:p>
        <a:p>
          <a:endParaRPr lang="en-GB" sz="1100">
            <a:solidFill>
              <a:schemeClr val="bg2"/>
            </a:solidFill>
          </a:endParaRPr>
        </a:p>
        <a:p>
          <a:r>
            <a:rPr lang="en-GB" sz="1100" baseline="0">
              <a:solidFill>
                <a:schemeClr val="bg2"/>
              </a:solidFill>
            </a:rPr>
            <a:t>- </a:t>
          </a:r>
          <a:r>
            <a:rPr lang="en-US" sz="1100">
              <a:solidFill>
                <a:schemeClr val="bg2"/>
              </a:solidFill>
              <a:effectLst/>
              <a:latin typeface="+mn-lt"/>
              <a:ea typeface="+mn-ea"/>
              <a:cs typeface="+mn-cs"/>
            </a:rPr>
            <a:t>Evans, C. D., Peacock, M., Baird, A.J., Artz, R.R.E., Burden, A., Callaghan, N., Chapman, P.J., Cooper, H.M., Coyle, M., Craig, E., Cumming, A., Dixon, S., Gauci, V., Grayson, R.P., Helfter, C., Heppell, C.M., Holden, J., Jones, D.L., Kaduk, J., Levy, P., Matthews, R., McNamara, N.P., Misselbrook, T., Oakley, S., Page, S.E., Rayment, M., Ridley, L.M., Stanley, K.M., Williamson, J.L., Worrall, F., Morrison, R., 2021. Overriding water table control on managed peatland greenhouse gas emissions. Nature, 593, 548-552</a:t>
          </a:r>
          <a:r>
            <a:rPr lang="en-US" sz="1100" u="none">
              <a:solidFill>
                <a:schemeClr val="bg2"/>
              </a:solidFill>
              <a:effectLst/>
              <a:latin typeface="+mn-lt"/>
              <a:ea typeface="+mn-ea"/>
              <a:cs typeface="+mn-cs"/>
            </a:rPr>
            <a:t>. Available at: </a:t>
          </a:r>
          <a:r>
            <a:rPr lang="en-US" sz="1100" u="none">
              <a:solidFill>
                <a:schemeClr val="bg2"/>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https://doi.org/10.1038/s41586-021-03523-1</a:t>
          </a:r>
          <a:endParaRPr lang="en-GB" sz="1100" u="none" baseline="0">
            <a:solidFill>
              <a:schemeClr val="bg2"/>
            </a:solidFill>
            <a:effectLst/>
            <a:latin typeface="+mn-lt"/>
            <a:ea typeface="+mn-ea"/>
            <a:cs typeface="+mn-cs"/>
          </a:endParaRPr>
        </a:p>
      </xdr:txBody>
    </xdr:sp>
    <xdr:clientData/>
  </xdr:twoCellAnchor>
  <xdr:twoCellAnchor editAs="absolute">
    <xdr:from>
      <xdr:col>1</xdr:col>
      <xdr:colOff>576266</xdr:colOff>
      <xdr:row>160</xdr:row>
      <xdr:rowOff>147367</xdr:rowOff>
    </xdr:from>
    <xdr:to>
      <xdr:col>16</xdr:col>
      <xdr:colOff>576265</xdr:colOff>
      <xdr:row>170</xdr:row>
      <xdr:rowOff>43350</xdr:rowOff>
    </xdr:to>
    <xdr:pic>
      <xdr:nvPicPr>
        <xdr:cNvPr id="8" name="Picture 7">
          <a:extLst>
            <a:ext uri="{FF2B5EF4-FFF2-40B4-BE49-F238E27FC236}">
              <a16:creationId xmlns:a16="http://schemas.microsoft.com/office/drawing/2014/main" id="{D4BD1310-9DBD-4CB6-6EA6-82B1BB991166}"/>
            </a:ext>
          </a:extLst>
        </xdr:cNvPr>
        <xdr:cNvPicPr>
          <a:picLocks noChangeAspect="1"/>
        </xdr:cNvPicPr>
      </xdr:nvPicPr>
      <xdr:blipFill>
        <a:blip xmlns:r="http://schemas.openxmlformats.org/officeDocument/2006/relationships" r:embed="rId2"/>
        <a:stretch>
          <a:fillRect/>
        </a:stretch>
      </xdr:blipFill>
      <xdr:spPr>
        <a:xfrm>
          <a:off x="1181384" y="30795455"/>
          <a:ext cx="9076763" cy="1800983"/>
        </a:xfrm>
        <a:prstGeom prst="rect">
          <a:avLst/>
        </a:prstGeom>
        <a:ln>
          <a:solidFill>
            <a:sysClr val="windowText" lastClr="000000"/>
          </a:solidFill>
        </a:ln>
      </xdr:spPr>
    </xdr:pic>
    <xdr:clientData/>
  </xdr:twoCellAnchor>
  <xdr:twoCellAnchor editAs="absolute">
    <xdr:from>
      <xdr:col>1</xdr:col>
      <xdr:colOff>576262</xdr:colOff>
      <xdr:row>177</xdr:row>
      <xdr:rowOff>154119</xdr:rowOff>
    </xdr:from>
    <xdr:to>
      <xdr:col>16</xdr:col>
      <xdr:colOff>581026</xdr:colOff>
      <xdr:row>186</xdr:row>
      <xdr:rowOff>183778</xdr:rowOff>
    </xdr:to>
    <xdr:pic>
      <xdr:nvPicPr>
        <xdr:cNvPr id="9" name="Picture 8">
          <a:extLst>
            <a:ext uri="{FF2B5EF4-FFF2-40B4-BE49-F238E27FC236}">
              <a16:creationId xmlns:a16="http://schemas.microsoft.com/office/drawing/2014/main" id="{151D548B-3E6E-CF1A-CBA4-CB7C01D9E896}"/>
            </a:ext>
          </a:extLst>
        </xdr:cNvPr>
        <xdr:cNvPicPr>
          <a:picLocks noChangeAspect="1"/>
        </xdr:cNvPicPr>
      </xdr:nvPicPr>
      <xdr:blipFill>
        <a:blip xmlns:r="http://schemas.openxmlformats.org/officeDocument/2006/relationships" r:embed="rId3"/>
        <a:stretch>
          <a:fillRect/>
        </a:stretch>
      </xdr:blipFill>
      <xdr:spPr>
        <a:xfrm>
          <a:off x="1181380" y="34040707"/>
          <a:ext cx="9081528" cy="1744159"/>
        </a:xfrm>
        <a:prstGeom prst="rect">
          <a:avLst/>
        </a:prstGeom>
        <a:ln>
          <a:solidFill>
            <a:sysClr val="windowText" lastClr="000000"/>
          </a:solidFill>
        </a:ln>
      </xdr:spPr>
    </xdr:pic>
    <xdr:clientData/>
  </xdr:twoCellAnchor>
  <xdr:twoCellAnchor editAs="absolute">
    <xdr:from>
      <xdr:col>1</xdr:col>
      <xdr:colOff>536200</xdr:colOff>
      <xdr:row>196</xdr:row>
      <xdr:rowOff>174766</xdr:rowOff>
    </xdr:from>
    <xdr:to>
      <xdr:col>16</xdr:col>
      <xdr:colOff>526397</xdr:colOff>
      <xdr:row>215</xdr:row>
      <xdr:rowOff>137782</xdr:rowOff>
    </xdr:to>
    <xdr:pic>
      <xdr:nvPicPr>
        <xdr:cNvPr id="11" name="Picture 10">
          <a:extLst>
            <a:ext uri="{FF2B5EF4-FFF2-40B4-BE49-F238E27FC236}">
              <a16:creationId xmlns:a16="http://schemas.microsoft.com/office/drawing/2014/main" id="{9E32053C-4A52-7667-6A84-EE76C1CE85B8}"/>
            </a:ext>
          </a:extLst>
        </xdr:cNvPr>
        <xdr:cNvPicPr>
          <a:picLocks noChangeAspect="1"/>
        </xdr:cNvPicPr>
      </xdr:nvPicPr>
      <xdr:blipFill>
        <a:blip xmlns:r="http://schemas.openxmlformats.org/officeDocument/2006/relationships" r:embed="rId4"/>
        <a:stretch>
          <a:fillRect/>
        </a:stretch>
      </xdr:blipFill>
      <xdr:spPr>
        <a:xfrm>
          <a:off x="1141318" y="37680854"/>
          <a:ext cx="9066961" cy="3582516"/>
        </a:xfrm>
        <a:prstGeom prst="rect">
          <a:avLst/>
        </a:prstGeom>
        <a:ln>
          <a:solidFill>
            <a:sysClr val="windowText" lastClr="000000"/>
          </a:solidFill>
        </a:ln>
      </xdr:spPr>
    </xdr:pic>
    <xdr:clientData/>
  </xdr:twoCellAnchor>
  <xdr:twoCellAnchor editAs="absolute">
    <xdr:from>
      <xdr:col>2</xdr:col>
      <xdr:colOff>576261</xdr:colOff>
      <xdr:row>224</xdr:row>
      <xdr:rowOff>64955</xdr:rowOff>
    </xdr:from>
    <xdr:to>
      <xdr:col>15</xdr:col>
      <xdr:colOff>575982</xdr:colOff>
      <xdr:row>240</xdr:row>
      <xdr:rowOff>146519</xdr:rowOff>
    </xdr:to>
    <xdr:pic>
      <xdr:nvPicPr>
        <xdr:cNvPr id="14" name="Picture 13">
          <a:extLst>
            <a:ext uri="{FF2B5EF4-FFF2-40B4-BE49-F238E27FC236}">
              <a16:creationId xmlns:a16="http://schemas.microsoft.com/office/drawing/2014/main" id="{8D8A26DC-3224-2E68-5843-7089EB522003}"/>
            </a:ext>
          </a:extLst>
        </xdr:cNvPr>
        <xdr:cNvPicPr>
          <a:picLocks noChangeAspect="1"/>
        </xdr:cNvPicPr>
      </xdr:nvPicPr>
      <xdr:blipFill>
        <a:blip xmlns:r="http://schemas.openxmlformats.org/officeDocument/2006/relationships" r:embed="rId5"/>
        <a:stretch>
          <a:fillRect/>
        </a:stretch>
      </xdr:blipFill>
      <xdr:spPr>
        <a:xfrm>
          <a:off x="1786496" y="42905043"/>
          <a:ext cx="7866251" cy="3129564"/>
        </a:xfrm>
        <a:prstGeom prst="rect">
          <a:avLst/>
        </a:prstGeom>
        <a:ln>
          <a:solidFill>
            <a:sysClr val="windowText" lastClr="000000"/>
          </a:solidFill>
        </a:ln>
      </xdr:spPr>
    </xdr:pic>
    <xdr:clientData/>
  </xdr:twoCellAnchor>
  <xdr:twoCellAnchor editAs="absolute">
    <xdr:from>
      <xdr:col>5</xdr:col>
      <xdr:colOff>4761</xdr:colOff>
      <xdr:row>60</xdr:row>
      <xdr:rowOff>4761</xdr:rowOff>
    </xdr:from>
    <xdr:to>
      <xdr:col>14</xdr:col>
      <xdr:colOff>9526</xdr:colOff>
      <xdr:row>66</xdr:row>
      <xdr:rowOff>71659</xdr:rowOff>
    </xdr:to>
    <xdr:pic>
      <xdr:nvPicPr>
        <xdr:cNvPr id="18" name="Picture 17">
          <a:extLst>
            <a:ext uri="{FF2B5EF4-FFF2-40B4-BE49-F238E27FC236}">
              <a16:creationId xmlns:a16="http://schemas.microsoft.com/office/drawing/2014/main" id="{6C70AE32-AAA9-E5DD-66AC-A605983B7D7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43261" y="11015661"/>
          <a:ext cx="5834065" cy="1152748"/>
        </a:xfrm>
        <a:prstGeom prst="rect">
          <a:avLst/>
        </a:prstGeom>
      </xdr:spPr>
    </xdr:pic>
    <xdr:clientData/>
  </xdr:twoCellAnchor>
  <xdr:twoCellAnchor editAs="absolute">
    <xdr:from>
      <xdr:col>5</xdr:col>
      <xdr:colOff>4762</xdr:colOff>
      <xdr:row>72</xdr:row>
      <xdr:rowOff>4761</xdr:rowOff>
    </xdr:from>
    <xdr:to>
      <xdr:col>14</xdr:col>
      <xdr:colOff>15057</xdr:colOff>
      <xdr:row>77</xdr:row>
      <xdr:rowOff>119061</xdr:rowOff>
    </xdr:to>
    <xdr:pic>
      <xdr:nvPicPr>
        <xdr:cNvPr id="20" name="Picture 19">
          <a:extLst>
            <a:ext uri="{FF2B5EF4-FFF2-40B4-BE49-F238E27FC236}">
              <a16:creationId xmlns:a16="http://schemas.microsoft.com/office/drawing/2014/main" id="{90C2A647-016F-E39F-D412-BBED470E0CD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43262" y="13187361"/>
          <a:ext cx="5839595" cy="1019175"/>
        </a:xfrm>
        <a:prstGeom prst="rect">
          <a:avLst/>
        </a:prstGeom>
      </xdr:spPr>
    </xdr:pic>
    <xdr:clientData/>
  </xdr:twoCellAnchor>
  <xdr:twoCellAnchor editAs="absolute">
    <xdr:from>
      <xdr:col>5</xdr:col>
      <xdr:colOff>0</xdr:colOff>
      <xdr:row>83</xdr:row>
      <xdr:rowOff>176212</xdr:rowOff>
    </xdr:from>
    <xdr:to>
      <xdr:col>14</xdr:col>
      <xdr:colOff>529</xdr:colOff>
      <xdr:row>93</xdr:row>
      <xdr:rowOff>14287</xdr:rowOff>
    </xdr:to>
    <xdr:pic>
      <xdr:nvPicPr>
        <xdr:cNvPr id="29" name="Picture 28">
          <a:extLst>
            <a:ext uri="{FF2B5EF4-FFF2-40B4-BE49-F238E27FC236}">
              <a16:creationId xmlns:a16="http://schemas.microsoft.com/office/drawing/2014/main" id="{90D9A5A1-6BE4-7552-4E1A-A2466B542C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0" y="15349537"/>
          <a:ext cx="5829829" cy="1647825"/>
        </a:xfrm>
        <a:prstGeom prst="rect">
          <a:avLst/>
        </a:prstGeom>
      </xdr:spPr>
    </xdr:pic>
    <xdr:clientData/>
  </xdr:twoCellAnchor>
  <xdr:twoCellAnchor editAs="absolute">
    <xdr:from>
      <xdr:col>4</xdr:col>
      <xdr:colOff>560297</xdr:colOff>
      <xdr:row>102</xdr:row>
      <xdr:rowOff>111215</xdr:rowOff>
    </xdr:from>
    <xdr:to>
      <xdr:col>13</xdr:col>
      <xdr:colOff>577678</xdr:colOff>
      <xdr:row>111</xdr:row>
      <xdr:rowOff>146234</xdr:rowOff>
    </xdr:to>
    <xdr:pic>
      <xdr:nvPicPr>
        <xdr:cNvPr id="33" name="Picture 32">
          <a:extLst>
            <a:ext uri="{FF2B5EF4-FFF2-40B4-BE49-F238E27FC236}">
              <a16:creationId xmlns:a16="http://schemas.microsoft.com/office/drawing/2014/main" id="{30B1B6A4-0B73-4F4D-3554-EC60459EE6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80768" y="19710303"/>
          <a:ext cx="5463439" cy="1749519"/>
        </a:xfrm>
        <a:prstGeom prst="rect">
          <a:avLst/>
        </a:prstGeom>
      </xdr:spPr>
    </xdr:pic>
    <xdr:clientData/>
  </xdr:twoCellAnchor>
  <xdr:twoCellAnchor editAs="absolute">
    <xdr:from>
      <xdr:col>4</xdr:col>
      <xdr:colOff>537605</xdr:colOff>
      <xdr:row>118</xdr:row>
      <xdr:rowOff>27167</xdr:rowOff>
    </xdr:from>
    <xdr:to>
      <xdr:col>13</xdr:col>
      <xdr:colOff>559913</xdr:colOff>
      <xdr:row>127</xdr:row>
      <xdr:rowOff>114574</xdr:rowOff>
    </xdr:to>
    <xdr:pic>
      <xdr:nvPicPr>
        <xdr:cNvPr id="35" name="Picture 34">
          <a:extLst>
            <a:ext uri="{FF2B5EF4-FFF2-40B4-BE49-F238E27FC236}">
              <a16:creationId xmlns:a16="http://schemas.microsoft.com/office/drawing/2014/main" id="{AD9854C6-C3F4-D8C8-E5DC-CB5C19A6EE0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8076" y="22674255"/>
          <a:ext cx="5468366" cy="1801907"/>
        </a:xfrm>
        <a:prstGeom prst="rect">
          <a:avLst/>
        </a:prstGeom>
      </xdr:spPr>
    </xdr:pic>
    <xdr:clientData/>
  </xdr:twoCellAnchor>
  <xdr:twoCellAnchor editAs="absolute">
    <xdr:from>
      <xdr:col>4</xdr:col>
      <xdr:colOff>536200</xdr:colOff>
      <xdr:row>137</xdr:row>
      <xdr:rowOff>72000</xdr:rowOff>
    </xdr:from>
    <xdr:to>
      <xdr:col>13</xdr:col>
      <xdr:colOff>532979</xdr:colOff>
      <xdr:row>148</xdr:row>
      <xdr:rowOff>91051</xdr:rowOff>
    </xdr:to>
    <xdr:pic>
      <xdr:nvPicPr>
        <xdr:cNvPr id="36" name="Picture 35">
          <a:extLst>
            <a:ext uri="{FF2B5EF4-FFF2-40B4-BE49-F238E27FC236}">
              <a16:creationId xmlns:a16="http://schemas.microsoft.com/office/drawing/2014/main" id="{59F4ED2B-1B2C-5638-319E-21A15F188E1A}"/>
            </a:ext>
          </a:extLst>
        </xdr:cNvPr>
        <xdr:cNvPicPr>
          <a:picLocks noChangeAspect="1"/>
        </xdr:cNvPicPr>
      </xdr:nvPicPr>
      <xdr:blipFill>
        <a:blip xmlns:r="http://schemas.openxmlformats.org/officeDocument/2006/relationships" r:embed="rId11"/>
        <a:stretch>
          <a:fillRect/>
        </a:stretch>
      </xdr:blipFill>
      <xdr:spPr>
        <a:xfrm>
          <a:off x="2956671" y="26338588"/>
          <a:ext cx="5442837" cy="2114551"/>
        </a:xfrm>
        <a:prstGeom prst="rect">
          <a:avLst/>
        </a:prstGeom>
        <a:ln>
          <a:solidFill>
            <a:sysClr val="windowText" lastClr="000000"/>
          </a:solidFill>
        </a:ln>
      </xdr:spPr>
    </xdr:pic>
    <xdr:clientData/>
  </xdr:twoCellAnchor>
  <xdr:twoCellAnchor editAs="absolute">
    <xdr:from>
      <xdr:col>2</xdr:col>
      <xdr:colOff>518552</xdr:colOff>
      <xdr:row>256</xdr:row>
      <xdr:rowOff>76764</xdr:rowOff>
    </xdr:from>
    <xdr:to>
      <xdr:col>14</xdr:col>
      <xdr:colOff>518552</xdr:colOff>
      <xdr:row>288</xdr:row>
      <xdr:rowOff>120239</xdr:rowOff>
    </xdr:to>
    <xdr:pic>
      <xdr:nvPicPr>
        <xdr:cNvPr id="39" name="Picture 38">
          <a:extLst>
            <a:ext uri="{FF2B5EF4-FFF2-40B4-BE49-F238E27FC236}">
              <a16:creationId xmlns:a16="http://schemas.microsoft.com/office/drawing/2014/main" id="{CA1A0217-0A9D-A71F-0D9C-E734508049E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28787" y="49012852"/>
          <a:ext cx="7261412" cy="6139475"/>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635454</xdr:colOff>
      <xdr:row>50</xdr:row>
      <xdr:rowOff>19050</xdr:rowOff>
    </xdr:from>
    <xdr:to>
      <xdr:col>17</xdr:col>
      <xdr:colOff>351064</xdr:colOff>
      <xdr:row>60</xdr:row>
      <xdr:rowOff>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5443</xdr:colOff>
      <xdr:row>26</xdr:row>
      <xdr:rowOff>16329</xdr:rowOff>
    </xdr:from>
    <xdr:to>
      <xdr:col>17</xdr:col>
      <xdr:colOff>357868</xdr:colOff>
      <xdr:row>36</xdr:row>
      <xdr:rowOff>6804</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38</xdr:row>
      <xdr:rowOff>19050</xdr:rowOff>
    </xdr:from>
    <xdr:to>
      <xdr:col>17</xdr:col>
      <xdr:colOff>361950</xdr:colOff>
      <xdr:row>48</xdr:row>
      <xdr:rowOff>9525</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13607</xdr:colOff>
      <xdr:row>26</xdr:row>
      <xdr:rowOff>0</xdr:rowOff>
    </xdr:from>
    <xdr:to>
      <xdr:col>31</xdr:col>
      <xdr:colOff>93889</xdr:colOff>
      <xdr:row>35</xdr:row>
      <xdr:rowOff>194582</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xdr:colOff>
      <xdr:row>38</xdr:row>
      <xdr:rowOff>0</xdr:rowOff>
    </xdr:from>
    <xdr:to>
      <xdr:col>31</xdr:col>
      <xdr:colOff>80283</xdr:colOff>
      <xdr:row>47</xdr:row>
      <xdr:rowOff>194582</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xdr:colOff>
      <xdr:row>50</xdr:row>
      <xdr:rowOff>13607</xdr:rowOff>
    </xdr:from>
    <xdr:to>
      <xdr:col>31</xdr:col>
      <xdr:colOff>89808</xdr:colOff>
      <xdr:row>59</xdr:row>
      <xdr:rowOff>198664</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23811</xdr:colOff>
      <xdr:row>62</xdr:row>
      <xdr:rowOff>88446</xdr:rowOff>
    </xdr:from>
    <xdr:to>
      <xdr:col>17</xdr:col>
      <xdr:colOff>374196</xdr:colOff>
      <xdr:row>72</xdr:row>
      <xdr:rowOff>170089</xdr:rowOff>
    </xdr:to>
    <xdr:graphicFrame macro="">
      <xdr:nvGraphicFramePr>
        <xdr:cNvPr id="2" name="Chart 1">
          <a:extLst>
            <a:ext uri="{FF2B5EF4-FFF2-40B4-BE49-F238E27FC236}">
              <a16:creationId xmlns:a16="http://schemas.microsoft.com/office/drawing/2014/main" id="{FFB6B390-2951-700F-08AB-CB3779D9B0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639536</xdr:colOff>
      <xdr:row>73</xdr:row>
      <xdr:rowOff>176892</xdr:rowOff>
    </xdr:from>
    <xdr:to>
      <xdr:col>17</xdr:col>
      <xdr:colOff>343581</xdr:colOff>
      <xdr:row>84</xdr:row>
      <xdr:rowOff>41502</xdr:rowOff>
    </xdr:to>
    <xdr:graphicFrame macro="">
      <xdr:nvGraphicFramePr>
        <xdr:cNvPr id="3" name="Chart 2">
          <a:extLst>
            <a:ext uri="{FF2B5EF4-FFF2-40B4-BE49-F238E27FC236}">
              <a16:creationId xmlns:a16="http://schemas.microsoft.com/office/drawing/2014/main" id="{809AD3BE-4CF5-432A-AA99-199AE9BAF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62</xdr:row>
      <xdr:rowOff>129269</xdr:rowOff>
    </xdr:from>
    <xdr:to>
      <xdr:col>31</xdr:col>
      <xdr:colOff>105454</xdr:colOff>
      <xdr:row>72</xdr:row>
      <xdr:rowOff>177576</xdr:rowOff>
    </xdr:to>
    <xdr:graphicFrame macro="">
      <xdr:nvGraphicFramePr>
        <xdr:cNvPr id="12" name="Chart 11">
          <a:extLst>
            <a:ext uri="{FF2B5EF4-FFF2-40B4-BE49-F238E27FC236}">
              <a16:creationId xmlns:a16="http://schemas.microsoft.com/office/drawing/2014/main" id="{1E4F9D13-E3FA-4663-88A2-AD1C5A563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73</xdr:row>
      <xdr:rowOff>163285</xdr:rowOff>
    </xdr:from>
    <xdr:to>
      <xdr:col>31</xdr:col>
      <xdr:colOff>105454</xdr:colOff>
      <xdr:row>84</xdr:row>
      <xdr:rowOff>27895</xdr:rowOff>
    </xdr:to>
    <xdr:graphicFrame macro="">
      <xdr:nvGraphicFramePr>
        <xdr:cNvPr id="13" name="Chart 12">
          <a:extLst>
            <a:ext uri="{FF2B5EF4-FFF2-40B4-BE49-F238E27FC236}">
              <a16:creationId xmlns:a16="http://schemas.microsoft.com/office/drawing/2014/main" id="{A6C81568-6B3D-48C1-85E1-0C736C69F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42</xdr:col>
      <xdr:colOff>635454</xdr:colOff>
      <xdr:row>50</xdr:row>
      <xdr:rowOff>19050</xdr:rowOff>
    </xdr:from>
    <xdr:to>
      <xdr:col>49</xdr:col>
      <xdr:colOff>351064</xdr:colOff>
      <xdr:row>60</xdr:row>
      <xdr:rowOff>0</xdr:rowOff>
    </xdr:to>
    <xdr:graphicFrame macro="">
      <xdr:nvGraphicFramePr>
        <xdr:cNvPr id="42" name="Chart 41">
          <a:extLst>
            <a:ext uri="{FF2B5EF4-FFF2-40B4-BE49-F238E27FC236}">
              <a16:creationId xmlns:a16="http://schemas.microsoft.com/office/drawing/2014/main" id="{0E63B40E-132B-4C70-BE8B-CAA3143EB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43</xdr:col>
      <xdr:colOff>5443</xdr:colOff>
      <xdr:row>26</xdr:row>
      <xdr:rowOff>16329</xdr:rowOff>
    </xdr:from>
    <xdr:to>
      <xdr:col>49</xdr:col>
      <xdr:colOff>357868</xdr:colOff>
      <xdr:row>36</xdr:row>
      <xdr:rowOff>6804</xdr:rowOff>
    </xdr:to>
    <xdr:graphicFrame macro="">
      <xdr:nvGraphicFramePr>
        <xdr:cNvPr id="43" name="Chart 42">
          <a:extLst>
            <a:ext uri="{FF2B5EF4-FFF2-40B4-BE49-F238E27FC236}">
              <a16:creationId xmlns:a16="http://schemas.microsoft.com/office/drawing/2014/main" id="{0CE5BA8A-21B6-4A65-BB93-C99DE58AB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43</xdr:col>
      <xdr:colOff>9525</xdr:colOff>
      <xdr:row>38</xdr:row>
      <xdr:rowOff>19050</xdr:rowOff>
    </xdr:from>
    <xdr:to>
      <xdr:col>49</xdr:col>
      <xdr:colOff>361950</xdr:colOff>
      <xdr:row>48</xdr:row>
      <xdr:rowOff>9525</xdr:rowOff>
    </xdr:to>
    <xdr:graphicFrame macro="">
      <xdr:nvGraphicFramePr>
        <xdr:cNvPr id="44" name="Chart 43">
          <a:extLst>
            <a:ext uri="{FF2B5EF4-FFF2-40B4-BE49-F238E27FC236}">
              <a16:creationId xmlns:a16="http://schemas.microsoft.com/office/drawing/2014/main" id="{325F64AD-B4EB-478D-BBE3-4986E17BA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56</xdr:col>
      <xdr:colOff>13607</xdr:colOff>
      <xdr:row>26</xdr:row>
      <xdr:rowOff>0</xdr:rowOff>
    </xdr:from>
    <xdr:to>
      <xdr:col>63</xdr:col>
      <xdr:colOff>93889</xdr:colOff>
      <xdr:row>35</xdr:row>
      <xdr:rowOff>194582</xdr:rowOff>
    </xdr:to>
    <xdr:graphicFrame macro="">
      <xdr:nvGraphicFramePr>
        <xdr:cNvPr id="45" name="Chart 44">
          <a:extLst>
            <a:ext uri="{FF2B5EF4-FFF2-40B4-BE49-F238E27FC236}">
              <a16:creationId xmlns:a16="http://schemas.microsoft.com/office/drawing/2014/main" id="{8D512847-A741-48D2-A9AD-E922AEC63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56</xdr:col>
      <xdr:colOff>1</xdr:colOff>
      <xdr:row>38</xdr:row>
      <xdr:rowOff>0</xdr:rowOff>
    </xdr:from>
    <xdr:to>
      <xdr:col>63</xdr:col>
      <xdr:colOff>80283</xdr:colOff>
      <xdr:row>47</xdr:row>
      <xdr:rowOff>194582</xdr:rowOff>
    </xdr:to>
    <xdr:graphicFrame macro="">
      <xdr:nvGraphicFramePr>
        <xdr:cNvPr id="46" name="Chart 45">
          <a:extLst>
            <a:ext uri="{FF2B5EF4-FFF2-40B4-BE49-F238E27FC236}">
              <a16:creationId xmlns:a16="http://schemas.microsoft.com/office/drawing/2014/main" id="{ADC23E0B-956B-4514-B07D-946E82431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56</xdr:col>
      <xdr:colOff>1</xdr:colOff>
      <xdr:row>50</xdr:row>
      <xdr:rowOff>13607</xdr:rowOff>
    </xdr:from>
    <xdr:to>
      <xdr:col>63</xdr:col>
      <xdr:colOff>89808</xdr:colOff>
      <xdr:row>59</xdr:row>
      <xdr:rowOff>198664</xdr:rowOff>
    </xdr:to>
    <xdr:graphicFrame macro="">
      <xdr:nvGraphicFramePr>
        <xdr:cNvPr id="47" name="Chart 46">
          <a:extLst>
            <a:ext uri="{FF2B5EF4-FFF2-40B4-BE49-F238E27FC236}">
              <a16:creationId xmlns:a16="http://schemas.microsoft.com/office/drawing/2014/main" id="{149D3982-6DA0-46D7-AFA9-050BE5578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42</xdr:col>
      <xdr:colOff>648539</xdr:colOff>
      <xdr:row>62</xdr:row>
      <xdr:rowOff>96152</xdr:rowOff>
    </xdr:from>
    <xdr:to>
      <xdr:col>49</xdr:col>
      <xdr:colOff>355986</xdr:colOff>
      <xdr:row>72</xdr:row>
      <xdr:rowOff>172191</xdr:rowOff>
    </xdr:to>
    <xdr:graphicFrame macro="">
      <xdr:nvGraphicFramePr>
        <xdr:cNvPr id="48" name="Chart 47">
          <a:extLst>
            <a:ext uri="{FF2B5EF4-FFF2-40B4-BE49-F238E27FC236}">
              <a16:creationId xmlns:a16="http://schemas.microsoft.com/office/drawing/2014/main" id="{8174BBEA-E236-428F-8BC4-AD1BB6376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43</xdr:col>
      <xdr:colOff>2902</xdr:colOff>
      <xdr:row>73</xdr:row>
      <xdr:rowOff>176892</xdr:rowOff>
    </xdr:from>
    <xdr:to>
      <xdr:col>49</xdr:col>
      <xdr:colOff>349885</xdr:colOff>
      <xdr:row>84</xdr:row>
      <xdr:rowOff>41502</xdr:rowOff>
    </xdr:to>
    <xdr:graphicFrame macro="">
      <xdr:nvGraphicFramePr>
        <xdr:cNvPr id="49" name="Chart 48">
          <a:extLst>
            <a:ext uri="{FF2B5EF4-FFF2-40B4-BE49-F238E27FC236}">
              <a16:creationId xmlns:a16="http://schemas.microsoft.com/office/drawing/2014/main" id="{D2D7DFD5-A8BA-4814-BE77-B5ADC1F49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56</xdr:col>
      <xdr:colOff>7704</xdr:colOff>
      <xdr:row>62</xdr:row>
      <xdr:rowOff>129271</xdr:rowOff>
    </xdr:from>
    <xdr:to>
      <xdr:col>63</xdr:col>
      <xdr:colOff>120163</xdr:colOff>
      <xdr:row>72</xdr:row>
      <xdr:rowOff>176877</xdr:rowOff>
    </xdr:to>
    <xdr:graphicFrame macro="">
      <xdr:nvGraphicFramePr>
        <xdr:cNvPr id="50" name="Chart 49">
          <a:extLst>
            <a:ext uri="{FF2B5EF4-FFF2-40B4-BE49-F238E27FC236}">
              <a16:creationId xmlns:a16="http://schemas.microsoft.com/office/drawing/2014/main" id="{A181F6D5-EC53-4293-A032-156C5C777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56</xdr:col>
      <xdr:colOff>3500</xdr:colOff>
      <xdr:row>74</xdr:row>
      <xdr:rowOff>2902</xdr:rowOff>
    </xdr:from>
    <xdr:to>
      <xdr:col>63</xdr:col>
      <xdr:colOff>108955</xdr:colOff>
      <xdr:row>84</xdr:row>
      <xdr:rowOff>46806</xdr:rowOff>
    </xdr:to>
    <xdr:graphicFrame macro="">
      <xdr:nvGraphicFramePr>
        <xdr:cNvPr id="51" name="Chart 50">
          <a:extLst>
            <a:ext uri="{FF2B5EF4-FFF2-40B4-BE49-F238E27FC236}">
              <a16:creationId xmlns:a16="http://schemas.microsoft.com/office/drawing/2014/main" id="{842B22DC-B59C-45CF-B295-075515360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74</xdr:col>
      <xdr:colOff>635454</xdr:colOff>
      <xdr:row>50</xdr:row>
      <xdr:rowOff>19050</xdr:rowOff>
    </xdr:from>
    <xdr:to>
      <xdr:col>81</xdr:col>
      <xdr:colOff>351064</xdr:colOff>
      <xdr:row>60</xdr:row>
      <xdr:rowOff>0</xdr:rowOff>
    </xdr:to>
    <xdr:graphicFrame macro="">
      <xdr:nvGraphicFramePr>
        <xdr:cNvPr id="52" name="Chart 51">
          <a:extLst>
            <a:ext uri="{FF2B5EF4-FFF2-40B4-BE49-F238E27FC236}">
              <a16:creationId xmlns:a16="http://schemas.microsoft.com/office/drawing/2014/main" id="{FE4EEF82-88DB-4A68-B85F-6A2E7E42D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75</xdr:col>
      <xdr:colOff>5443</xdr:colOff>
      <xdr:row>26</xdr:row>
      <xdr:rowOff>16329</xdr:rowOff>
    </xdr:from>
    <xdr:to>
      <xdr:col>81</xdr:col>
      <xdr:colOff>357868</xdr:colOff>
      <xdr:row>36</xdr:row>
      <xdr:rowOff>6804</xdr:rowOff>
    </xdr:to>
    <xdr:graphicFrame macro="">
      <xdr:nvGraphicFramePr>
        <xdr:cNvPr id="53" name="Chart 52">
          <a:extLst>
            <a:ext uri="{FF2B5EF4-FFF2-40B4-BE49-F238E27FC236}">
              <a16:creationId xmlns:a16="http://schemas.microsoft.com/office/drawing/2014/main" id="{CAFD4408-5A71-4EE0-A6F4-A22C9088B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75</xdr:col>
      <xdr:colOff>9525</xdr:colOff>
      <xdr:row>38</xdr:row>
      <xdr:rowOff>19050</xdr:rowOff>
    </xdr:from>
    <xdr:to>
      <xdr:col>81</xdr:col>
      <xdr:colOff>361950</xdr:colOff>
      <xdr:row>48</xdr:row>
      <xdr:rowOff>9525</xdr:rowOff>
    </xdr:to>
    <xdr:graphicFrame macro="">
      <xdr:nvGraphicFramePr>
        <xdr:cNvPr id="54" name="Chart 53">
          <a:extLst>
            <a:ext uri="{FF2B5EF4-FFF2-40B4-BE49-F238E27FC236}">
              <a16:creationId xmlns:a16="http://schemas.microsoft.com/office/drawing/2014/main" id="{C7E0602D-59A2-46E7-947F-3C70597EA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88</xdr:col>
      <xdr:colOff>13607</xdr:colOff>
      <xdr:row>26</xdr:row>
      <xdr:rowOff>0</xdr:rowOff>
    </xdr:from>
    <xdr:to>
      <xdr:col>95</xdr:col>
      <xdr:colOff>93889</xdr:colOff>
      <xdr:row>35</xdr:row>
      <xdr:rowOff>194582</xdr:rowOff>
    </xdr:to>
    <xdr:graphicFrame macro="">
      <xdr:nvGraphicFramePr>
        <xdr:cNvPr id="55" name="Chart 54">
          <a:extLst>
            <a:ext uri="{FF2B5EF4-FFF2-40B4-BE49-F238E27FC236}">
              <a16:creationId xmlns:a16="http://schemas.microsoft.com/office/drawing/2014/main" id="{16C0D1CA-9CEF-4D26-8A67-810BD43BA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88</xdr:col>
      <xdr:colOff>1</xdr:colOff>
      <xdr:row>38</xdr:row>
      <xdr:rowOff>0</xdr:rowOff>
    </xdr:from>
    <xdr:to>
      <xdr:col>95</xdr:col>
      <xdr:colOff>80283</xdr:colOff>
      <xdr:row>47</xdr:row>
      <xdr:rowOff>194582</xdr:rowOff>
    </xdr:to>
    <xdr:graphicFrame macro="">
      <xdr:nvGraphicFramePr>
        <xdr:cNvPr id="56" name="Chart 55">
          <a:extLst>
            <a:ext uri="{FF2B5EF4-FFF2-40B4-BE49-F238E27FC236}">
              <a16:creationId xmlns:a16="http://schemas.microsoft.com/office/drawing/2014/main" id="{566CA4F3-7AC5-4001-953A-977FA3D38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88</xdr:col>
      <xdr:colOff>1</xdr:colOff>
      <xdr:row>50</xdr:row>
      <xdr:rowOff>13607</xdr:rowOff>
    </xdr:from>
    <xdr:to>
      <xdr:col>95</xdr:col>
      <xdr:colOff>89808</xdr:colOff>
      <xdr:row>59</xdr:row>
      <xdr:rowOff>198664</xdr:rowOff>
    </xdr:to>
    <xdr:graphicFrame macro="">
      <xdr:nvGraphicFramePr>
        <xdr:cNvPr id="57" name="Chart 56">
          <a:extLst>
            <a:ext uri="{FF2B5EF4-FFF2-40B4-BE49-F238E27FC236}">
              <a16:creationId xmlns:a16="http://schemas.microsoft.com/office/drawing/2014/main" id="{82AF0BBD-5E7C-4002-99B3-5A7510627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75</xdr:col>
      <xdr:colOff>1730</xdr:colOff>
      <xdr:row>62</xdr:row>
      <xdr:rowOff>89312</xdr:rowOff>
    </xdr:from>
    <xdr:to>
      <xdr:col>81</xdr:col>
      <xdr:colOff>355146</xdr:colOff>
      <xdr:row>72</xdr:row>
      <xdr:rowOff>174852</xdr:rowOff>
    </xdr:to>
    <xdr:graphicFrame macro="">
      <xdr:nvGraphicFramePr>
        <xdr:cNvPr id="58" name="Chart 57">
          <a:extLst>
            <a:ext uri="{FF2B5EF4-FFF2-40B4-BE49-F238E27FC236}">
              <a16:creationId xmlns:a16="http://schemas.microsoft.com/office/drawing/2014/main" id="{FE3E4182-1F2C-4238-A6AC-D3B8B1FF0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75</xdr:col>
      <xdr:colOff>1793</xdr:colOff>
      <xdr:row>74</xdr:row>
      <xdr:rowOff>11072</xdr:rowOff>
    </xdr:from>
    <xdr:to>
      <xdr:col>81</xdr:col>
      <xdr:colOff>358302</xdr:colOff>
      <xdr:row>84</xdr:row>
      <xdr:rowOff>57522</xdr:rowOff>
    </xdr:to>
    <xdr:graphicFrame macro="">
      <xdr:nvGraphicFramePr>
        <xdr:cNvPr id="59" name="Chart 58">
          <a:extLst>
            <a:ext uri="{FF2B5EF4-FFF2-40B4-BE49-F238E27FC236}">
              <a16:creationId xmlns:a16="http://schemas.microsoft.com/office/drawing/2014/main" id="{0900A374-5147-4E86-8252-B7308BD54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88</xdr:col>
      <xdr:colOff>5603</xdr:colOff>
      <xdr:row>62</xdr:row>
      <xdr:rowOff>134872</xdr:rowOff>
    </xdr:from>
    <xdr:to>
      <xdr:col>95</xdr:col>
      <xdr:colOff>111057</xdr:colOff>
      <xdr:row>73</xdr:row>
      <xdr:rowOff>3885</xdr:rowOff>
    </xdr:to>
    <xdr:graphicFrame macro="">
      <xdr:nvGraphicFramePr>
        <xdr:cNvPr id="60" name="Chart 59">
          <a:extLst>
            <a:ext uri="{FF2B5EF4-FFF2-40B4-BE49-F238E27FC236}">
              <a16:creationId xmlns:a16="http://schemas.microsoft.com/office/drawing/2014/main" id="{65E2B532-C876-410E-ADD5-194E1CF96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88</xdr:col>
      <xdr:colOff>5603</xdr:colOff>
      <xdr:row>74</xdr:row>
      <xdr:rowOff>800</xdr:rowOff>
    </xdr:from>
    <xdr:to>
      <xdr:col>95</xdr:col>
      <xdr:colOff>111057</xdr:colOff>
      <xdr:row>84</xdr:row>
      <xdr:rowOff>44704</xdr:rowOff>
    </xdr:to>
    <xdr:graphicFrame macro="">
      <xdr:nvGraphicFramePr>
        <xdr:cNvPr id="61" name="Chart 60">
          <a:extLst>
            <a:ext uri="{FF2B5EF4-FFF2-40B4-BE49-F238E27FC236}">
              <a16:creationId xmlns:a16="http://schemas.microsoft.com/office/drawing/2014/main" id="{1F65C62D-C2A4-4AF8-A12E-8391BF249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106</xdr:col>
      <xdr:colOff>635454</xdr:colOff>
      <xdr:row>50</xdr:row>
      <xdr:rowOff>19050</xdr:rowOff>
    </xdr:from>
    <xdr:to>
      <xdr:col>113</xdr:col>
      <xdr:colOff>351064</xdr:colOff>
      <xdr:row>60</xdr:row>
      <xdr:rowOff>0</xdr:rowOff>
    </xdr:to>
    <xdr:graphicFrame macro="">
      <xdr:nvGraphicFramePr>
        <xdr:cNvPr id="62" name="Chart 61">
          <a:extLst>
            <a:ext uri="{FF2B5EF4-FFF2-40B4-BE49-F238E27FC236}">
              <a16:creationId xmlns:a16="http://schemas.microsoft.com/office/drawing/2014/main" id="{75DDD77B-4740-4EC8-9CFF-486A949BA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107</xdr:col>
      <xdr:colOff>5443</xdr:colOff>
      <xdr:row>26</xdr:row>
      <xdr:rowOff>16329</xdr:rowOff>
    </xdr:from>
    <xdr:to>
      <xdr:col>113</xdr:col>
      <xdr:colOff>357868</xdr:colOff>
      <xdr:row>36</xdr:row>
      <xdr:rowOff>6804</xdr:rowOff>
    </xdr:to>
    <xdr:graphicFrame macro="">
      <xdr:nvGraphicFramePr>
        <xdr:cNvPr id="63" name="Chart 62">
          <a:extLst>
            <a:ext uri="{FF2B5EF4-FFF2-40B4-BE49-F238E27FC236}">
              <a16:creationId xmlns:a16="http://schemas.microsoft.com/office/drawing/2014/main" id="{7ADF578A-4B1B-4B72-AE56-1C017E826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107</xdr:col>
      <xdr:colOff>9525</xdr:colOff>
      <xdr:row>38</xdr:row>
      <xdr:rowOff>19050</xdr:rowOff>
    </xdr:from>
    <xdr:to>
      <xdr:col>113</xdr:col>
      <xdr:colOff>361950</xdr:colOff>
      <xdr:row>48</xdr:row>
      <xdr:rowOff>9525</xdr:rowOff>
    </xdr:to>
    <xdr:graphicFrame macro="">
      <xdr:nvGraphicFramePr>
        <xdr:cNvPr id="64" name="Chart 63">
          <a:extLst>
            <a:ext uri="{FF2B5EF4-FFF2-40B4-BE49-F238E27FC236}">
              <a16:creationId xmlns:a16="http://schemas.microsoft.com/office/drawing/2014/main" id="{08D3BFD8-67FD-467C-B73D-950F3C965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120</xdr:col>
      <xdr:colOff>13607</xdr:colOff>
      <xdr:row>26</xdr:row>
      <xdr:rowOff>0</xdr:rowOff>
    </xdr:from>
    <xdr:to>
      <xdr:col>127</xdr:col>
      <xdr:colOff>93889</xdr:colOff>
      <xdr:row>35</xdr:row>
      <xdr:rowOff>194582</xdr:rowOff>
    </xdr:to>
    <xdr:graphicFrame macro="">
      <xdr:nvGraphicFramePr>
        <xdr:cNvPr id="65" name="Chart 64">
          <a:extLst>
            <a:ext uri="{FF2B5EF4-FFF2-40B4-BE49-F238E27FC236}">
              <a16:creationId xmlns:a16="http://schemas.microsoft.com/office/drawing/2014/main" id="{2F791715-5813-42E8-A460-A8D767C1F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120</xdr:col>
      <xdr:colOff>1</xdr:colOff>
      <xdr:row>38</xdr:row>
      <xdr:rowOff>0</xdr:rowOff>
    </xdr:from>
    <xdr:to>
      <xdr:col>127</xdr:col>
      <xdr:colOff>80283</xdr:colOff>
      <xdr:row>47</xdr:row>
      <xdr:rowOff>194582</xdr:rowOff>
    </xdr:to>
    <xdr:graphicFrame macro="">
      <xdr:nvGraphicFramePr>
        <xdr:cNvPr id="66" name="Chart 65">
          <a:extLst>
            <a:ext uri="{FF2B5EF4-FFF2-40B4-BE49-F238E27FC236}">
              <a16:creationId xmlns:a16="http://schemas.microsoft.com/office/drawing/2014/main" id="{2DED5AF7-729B-4712-A50D-71FB47EC5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120</xdr:col>
      <xdr:colOff>1</xdr:colOff>
      <xdr:row>50</xdr:row>
      <xdr:rowOff>13607</xdr:rowOff>
    </xdr:from>
    <xdr:to>
      <xdr:col>127</xdr:col>
      <xdr:colOff>89808</xdr:colOff>
      <xdr:row>59</xdr:row>
      <xdr:rowOff>198664</xdr:rowOff>
    </xdr:to>
    <xdr:graphicFrame macro="">
      <xdr:nvGraphicFramePr>
        <xdr:cNvPr id="67" name="Chart 66">
          <a:extLst>
            <a:ext uri="{FF2B5EF4-FFF2-40B4-BE49-F238E27FC236}">
              <a16:creationId xmlns:a16="http://schemas.microsoft.com/office/drawing/2014/main" id="{8AD9DF30-8560-4D72-A954-123BD510F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107</xdr:col>
      <xdr:colOff>3437</xdr:colOff>
      <xdr:row>62</xdr:row>
      <xdr:rowOff>104236</xdr:rowOff>
    </xdr:from>
    <xdr:to>
      <xdr:col>113</xdr:col>
      <xdr:colOff>354841</xdr:colOff>
      <xdr:row>73</xdr:row>
      <xdr:rowOff>6585</xdr:rowOff>
    </xdr:to>
    <xdr:graphicFrame macro="">
      <xdr:nvGraphicFramePr>
        <xdr:cNvPr id="68" name="Chart 67">
          <a:extLst>
            <a:ext uri="{FF2B5EF4-FFF2-40B4-BE49-F238E27FC236}">
              <a16:creationId xmlns:a16="http://schemas.microsoft.com/office/drawing/2014/main" id="{DC4E9AF7-FCAC-47CD-A83E-2592EC2A9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107</xdr:col>
      <xdr:colOff>2837</xdr:colOff>
      <xdr:row>74</xdr:row>
      <xdr:rowOff>8295</xdr:rowOff>
    </xdr:from>
    <xdr:to>
      <xdr:col>113</xdr:col>
      <xdr:colOff>356823</xdr:colOff>
      <xdr:row>84</xdr:row>
      <xdr:rowOff>52199</xdr:rowOff>
    </xdr:to>
    <xdr:graphicFrame macro="">
      <xdr:nvGraphicFramePr>
        <xdr:cNvPr id="69" name="Chart 68">
          <a:extLst>
            <a:ext uri="{FF2B5EF4-FFF2-40B4-BE49-F238E27FC236}">
              <a16:creationId xmlns:a16="http://schemas.microsoft.com/office/drawing/2014/main" id="{6105A60F-CC95-4635-8973-E84AFCAFE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120</xdr:col>
      <xdr:colOff>12226</xdr:colOff>
      <xdr:row>62</xdr:row>
      <xdr:rowOff>127742</xdr:rowOff>
    </xdr:from>
    <xdr:to>
      <xdr:col>127</xdr:col>
      <xdr:colOff>118189</xdr:colOff>
      <xdr:row>72</xdr:row>
      <xdr:rowOff>176049</xdr:rowOff>
    </xdr:to>
    <xdr:graphicFrame macro="">
      <xdr:nvGraphicFramePr>
        <xdr:cNvPr id="70" name="Chart 69">
          <a:extLst>
            <a:ext uri="{FF2B5EF4-FFF2-40B4-BE49-F238E27FC236}">
              <a16:creationId xmlns:a16="http://schemas.microsoft.com/office/drawing/2014/main" id="{6BF70203-49A7-4039-B241-4718A4813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120</xdr:col>
      <xdr:colOff>6623</xdr:colOff>
      <xdr:row>74</xdr:row>
      <xdr:rowOff>1310</xdr:rowOff>
    </xdr:from>
    <xdr:to>
      <xdr:col>127</xdr:col>
      <xdr:colOff>112586</xdr:colOff>
      <xdr:row>84</xdr:row>
      <xdr:rowOff>50816</xdr:rowOff>
    </xdr:to>
    <xdr:graphicFrame macro="">
      <xdr:nvGraphicFramePr>
        <xdr:cNvPr id="71" name="Chart 70">
          <a:extLst>
            <a:ext uri="{FF2B5EF4-FFF2-40B4-BE49-F238E27FC236}">
              <a16:creationId xmlns:a16="http://schemas.microsoft.com/office/drawing/2014/main" id="{F1E367D2-1C9D-4CA9-A188-A5432BE39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138</xdr:col>
      <xdr:colOff>635454</xdr:colOff>
      <xdr:row>50</xdr:row>
      <xdr:rowOff>19050</xdr:rowOff>
    </xdr:from>
    <xdr:to>
      <xdr:col>145</xdr:col>
      <xdr:colOff>351064</xdr:colOff>
      <xdr:row>60</xdr:row>
      <xdr:rowOff>0</xdr:rowOff>
    </xdr:to>
    <xdr:graphicFrame macro="">
      <xdr:nvGraphicFramePr>
        <xdr:cNvPr id="72" name="Chart 71">
          <a:extLst>
            <a:ext uri="{FF2B5EF4-FFF2-40B4-BE49-F238E27FC236}">
              <a16:creationId xmlns:a16="http://schemas.microsoft.com/office/drawing/2014/main" id="{5FD5F032-0DB8-4030-A29A-185902466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139</xdr:col>
      <xdr:colOff>5443</xdr:colOff>
      <xdr:row>26</xdr:row>
      <xdr:rowOff>16329</xdr:rowOff>
    </xdr:from>
    <xdr:to>
      <xdr:col>145</xdr:col>
      <xdr:colOff>357868</xdr:colOff>
      <xdr:row>36</xdr:row>
      <xdr:rowOff>6804</xdr:rowOff>
    </xdr:to>
    <xdr:graphicFrame macro="">
      <xdr:nvGraphicFramePr>
        <xdr:cNvPr id="73" name="Chart 72">
          <a:extLst>
            <a:ext uri="{FF2B5EF4-FFF2-40B4-BE49-F238E27FC236}">
              <a16:creationId xmlns:a16="http://schemas.microsoft.com/office/drawing/2014/main" id="{B26C6558-92CE-429C-B7D6-E5A50539D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139</xdr:col>
      <xdr:colOff>9525</xdr:colOff>
      <xdr:row>38</xdr:row>
      <xdr:rowOff>19050</xdr:rowOff>
    </xdr:from>
    <xdr:to>
      <xdr:col>145</xdr:col>
      <xdr:colOff>361950</xdr:colOff>
      <xdr:row>48</xdr:row>
      <xdr:rowOff>9525</xdr:rowOff>
    </xdr:to>
    <xdr:graphicFrame macro="">
      <xdr:nvGraphicFramePr>
        <xdr:cNvPr id="74" name="Chart 73">
          <a:extLst>
            <a:ext uri="{FF2B5EF4-FFF2-40B4-BE49-F238E27FC236}">
              <a16:creationId xmlns:a16="http://schemas.microsoft.com/office/drawing/2014/main" id="{0F16BECB-48C5-48CC-97E3-8F9E7CAC1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152</xdr:col>
      <xdr:colOff>13607</xdr:colOff>
      <xdr:row>26</xdr:row>
      <xdr:rowOff>0</xdr:rowOff>
    </xdr:from>
    <xdr:to>
      <xdr:col>159</xdr:col>
      <xdr:colOff>93889</xdr:colOff>
      <xdr:row>35</xdr:row>
      <xdr:rowOff>194582</xdr:rowOff>
    </xdr:to>
    <xdr:graphicFrame macro="">
      <xdr:nvGraphicFramePr>
        <xdr:cNvPr id="75" name="Chart 74">
          <a:extLst>
            <a:ext uri="{FF2B5EF4-FFF2-40B4-BE49-F238E27FC236}">
              <a16:creationId xmlns:a16="http://schemas.microsoft.com/office/drawing/2014/main" id="{A6D8DD08-50B0-4BA5-BEB7-303E2210B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152</xdr:col>
      <xdr:colOff>1</xdr:colOff>
      <xdr:row>38</xdr:row>
      <xdr:rowOff>0</xdr:rowOff>
    </xdr:from>
    <xdr:to>
      <xdr:col>159</xdr:col>
      <xdr:colOff>80283</xdr:colOff>
      <xdr:row>47</xdr:row>
      <xdr:rowOff>194582</xdr:rowOff>
    </xdr:to>
    <xdr:graphicFrame macro="">
      <xdr:nvGraphicFramePr>
        <xdr:cNvPr id="76" name="Chart 75">
          <a:extLst>
            <a:ext uri="{FF2B5EF4-FFF2-40B4-BE49-F238E27FC236}">
              <a16:creationId xmlns:a16="http://schemas.microsoft.com/office/drawing/2014/main" id="{200C1420-9CBE-4050-9150-B76314A92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152</xdr:col>
      <xdr:colOff>1</xdr:colOff>
      <xdr:row>50</xdr:row>
      <xdr:rowOff>13607</xdr:rowOff>
    </xdr:from>
    <xdr:to>
      <xdr:col>159</xdr:col>
      <xdr:colOff>89808</xdr:colOff>
      <xdr:row>59</xdr:row>
      <xdr:rowOff>198664</xdr:rowOff>
    </xdr:to>
    <xdr:graphicFrame macro="">
      <xdr:nvGraphicFramePr>
        <xdr:cNvPr id="77" name="Chart 76">
          <a:extLst>
            <a:ext uri="{FF2B5EF4-FFF2-40B4-BE49-F238E27FC236}">
              <a16:creationId xmlns:a16="http://schemas.microsoft.com/office/drawing/2014/main" id="{BA048333-0D44-4621-8BBF-E6F42F590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139</xdr:col>
      <xdr:colOff>5473</xdr:colOff>
      <xdr:row>62</xdr:row>
      <xdr:rowOff>88446</xdr:rowOff>
    </xdr:from>
    <xdr:to>
      <xdr:col>145</xdr:col>
      <xdr:colOff>356877</xdr:colOff>
      <xdr:row>72</xdr:row>
      <xdr:rowOff>170089</xdr:rowOff>
    </xdr:to>
    <xdr:graphicFrame macro="">
      <xdr:nvGraphicFramePr>
        <xdr:cNvPr id="78" name="Chart 77">
          <a:extLst>
            <a:ext uri="{FF2B5EF4-FFF2-40B4-BE49-F238E27FC236}">
              <a16:creationId xmlns:a16="http://schemas.microsoft.com/office/drawing/2014/main" id="{CA919319-F722-4B33-B7A4-97DF5CDAC9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139</xdr:col>
      <xdr:colOff>7422</xdr:colOff>
      <xdr:row>73</xdr:row>
      <xdr:rowOff>161103</xdr:rowOff>
    </xdr:from>
    <xdr:to>
      <xdr:col>145</xdr:col>
      <xdr:colOff>361918</xdr:colOff>
      <xdr:row>84</xdr:row>
      <xdr:rowOff>28259</xdr:rowOff>
    </xdr:to>
    <xdr:graphicFrame macro="">
      <xdr:nvGraphicFramePr>
        <xdr:cNvPr id="79" name="Chart 78">
          <a:extLst>
            <a:ext uri="{FF2B5EF4-FFF2-40B4-BE49-F238E27FC236}">
              <a16:creationId xmlns:a16="http://schemas.microsoft.com/office/drawing/2014/main" id="{4546C3B8-C9F0-4A06-901A-12CCD221B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151</xdr:col>
      <xdr:colOff>629058</xdr:colOff>
      <xdr:row>62</xdr:row>
      <xdr:rowOff>143531</xdr:rowOff>
    </xdr:from>
    <xdr:to>
      <xdr:col>159</xdr:col>
      <xdr:colOff>101379</xdr:colOff>
      <xdr:row>73</xdr:row>
      <xdr:rowOff>9996</xdr:rowOff>
    </xdr:to>
    <xdr:graphicFrame macro="">
      <xdr:nvGraphicFramePr>
        <xdr:cNvPr id="80" name="Chart 79">
          <a:extLst>
            <a:ext uri="{FF2B5EF4-FFF2-40B4-BE49-F238E27FC236}">
              <a16:creationId xmlns:a16="http://schemas.microsoft.com/office/drawing/2014/main" id="{92D8FD1A-3C4A-4E38-B4D8-1FC95CC7B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151</xdr:col>
      <xdr:colOff>630075</xdr:colOff>
      <xdr:row>73</xdr:row>
      <xdr:rowOff>174492</xdr:rowOff>
    </xdr:from>
    <xdr:to>
      <xdr:col>159</xdr:col>
      <xdr:colOff>102396</xdr:colOff>
      <xdr:row>84</xdr:row>
      <xdr:rowOff>44704</xdr:rowOff>
    </xdr:to>
    <xdr:graphicFrame macro="">
      <xdr:nvGraphicFramePr>
        <xdr:cNvPr id="81" name="Chart 80">
          <a:extLst>
            <a:ext uri="{FF2B5EF4-FFF2-40B4-BE49-F238E27FC236}">
              <a16:creationId xmlns:a16="http://schemas.microsoft.com/office/drawing/2014/main" id="{9EDE1858-FCAE-4400-86FD-DDFA18599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257174</xdr:colOff>
      <xdr:row>16</xdr:row>
      <xdr:rowOff>180973</xdr:rowOff>
    </xdr:from>
    <xdr:to>
      <xdr:col>28</xdr:col>
      <xdr:colOff>57150</xdr:colOff>
      <xdr:row>35</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D993A-31B5-43EB-84EF-B969AA07AC0F}">
  <dimension ref="A1"/>
  <sheetViews>
    <sheetView topLeftCell="A16" zoomScale="55" zoomScaleNormal="55" workbookViewId="0">
      <selection activeCell="W6" sqref="W6"/>
    </sheetView>
  </sheetViews>
  <sheetFormatPr defaultRowHeight="15" x14ac:dyDescent="0.25"/>
  <sheetData/>
  <sheetProtection algorithmName="SHA-512" hashValue="cIbjEOcEwF4+h/k7b8i9Cr/okJ0JRkSH+wSQwhCzLmO36H5IxefpxqL9SFsxfcf8E8yqbYGXGML6ZrQO5K8tYg==" saltValue="p1zYumBa+xT7zkdVQyeMVg=="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955F2-81E0-4B31-BA0C-DDD0F994C72A}">
  <dimension ref="C2:U27"/>
  <sheetViews>
    <sheetView workbookViewId="0">
      <selection activeCell="D15" sqref="D15"/>
    </sheetView>
  </sheetViews>
  <sheetFormatPr defaultRowHeight="15" x14ac:dyDescent="0.25"/>
  <cols>
    <col min="3" max="3" width="30" customWidth="1"/>
    <col min="4" max="4" width="11" customWidth="1"/>
    <col min="5" max="5" width="10.85546875" customWidth="1"/>
    <col min="7" max="7" width="30" customWidth="1"/>
    <col min="8" max="8" width="11" customWidth="1"/>
    <col min="9" max="9" width="10.85546875" customWidth="1"/>
    <col min="11" max="11" width="30" customWidth="1"/>
    <col min="12" max="12" width="11" customWidth="1"/>
    <col min="13" max="13" width="10.85546875" customWidth="1"/>
    <col min="15" max="15" width="30" customWidth="1"/>
    <col min="16" max="16" width="11" customWidth="1"/>
    <col min="17" max="17" width="10.85546875" customWidth="1"/>
    <col min="19" max="19" width="30" customWidth="1"/>
    <col min="20" max="20" width="11" customWidth="1"/>
    <col min="21" max="21" width="10.85546875" customWidth="1"/>
  </cols>
  <sheetData>
    <row r="2" spans="3:21" ht="15.75" thickBot="1" x14ac:dyDescent="0.3"/>
    <row r="3" spans="3:21" ht="21.75" thickBot="1" x14ac:dyDescent="0.4">
      <c r="C3" s="442" t="s">
        <v>130</v>
      </c>
      <c r="D3" s="443"/>
      <c r="E3" s="444"/>
      <c r="G3" s="107"/>
      <c r="H3" s="107"/>
      <c r="I3" s="107"/>
      <c r="K3" s="107"/>
      <c r="L3" s="107"/>
      <c r="M3" s="107"/>
      <c r="O3" s="107"/>
      <c r="P3" s="107"/>
      <c r="Q3" s="107"/>
      <c r="S3" s="107"/>
      <c r="T3" s="107"/>
      <c r="U3" s="107"/>
    </row>
    <row r="4" spans="3:21" ht="15.75" thickBot="1" x14ac:dyDescent="0.3"/>
    <row r="5" spans="3:21" ht="19.5" thickBot="1" x14ac:dyDescent="0.35">
      <c r="C5" s="124" t="s">
        <v>101</v>
      </c>
      <c r="G5" s="124" t="s">
        <v>102</v>
      </c>
      <c r="K5" s="124" t="s">
        <v>103</v>
      </c>
      <c r="O5" s="124" t="s">
        <v>104</v>
      </c>
      <c r="S5" s="124" t="s">
        <v>105</v>
      </c>
    </row>
    <row r="6" spans="3:21" x14ac:dyDescent="0.25">
      <c r="C6" s="119" t="s">
        <v>214</v>
      </c>
      <c r="D6" s="71">
        <f>Calculator!$J$34</f>
        <v>0</v>
      </c>
      <c r="G6" s="119" t="s">
        <v>214</v>
      </c>
      <c r="H6" s="71">
        <f>Calculator!AP34</f>
        <v>6.7794571428571437</v>
      </c>
      <c r="K6" s="119" t="s">
        <v>214</v>
      </c>
      <c r="L6" s="71" t="e">
        <f>Calculator!BV34</f>
        <v>#VALUE!</v>
      </c>
      <c r="O6" s="119" t="s">
        <v>214</v>
      </c>
      <c r="P6" s="71" t="e">
        <f>Calculator!DB34</f>
        <v>#VALUE!</v>
      </c>
      <c r="S6" s="119" t="s">
        <v>214</v>
      </c>
      <c r="T6" s="71" t="e">
        <f>Calculator!EH34</f>
        <v>#VALUE!</v>
      </c>
    </row>
    <row r="7" spans="3:21" x14ac:dyDescent="0.25">
      <c r="C7" s="120" t="s">
        <v>215</v>
      </c>
      <c r="D7" s="72">
        <f>Calculator!$J$46</f>
        <v>0</v>
      </c>
      <c r="G7" s="120" t="s">
        <v>215</v>
      </c>
      <c r="H7" s="72">
        <f>Calculator!AP46</f>
        <v>0</v>
      </c>
      <c r="K7" s="120" t="s">
        <v>215</v>
      </c>
      <c r="L7" s="72" t="e">
        <f>Calculator!BV46</f>
        <v>#VALUE!</v>
      </c>
      <c r="O7" s="120" t="s">
        <v>215</v>
      </c>
      <c r="P7" s="72" t="e">
        <f>Calculator!DB46</f>
        <v>#VALUE!</v>
      </c>
      <c r="S7" s="120" t="s">
        <v>215</v>
      </c>
      <c r="T7" s="72" t="e">
        <f>Calculator!EH46</f>
        <v>#VALUE!</v>
      </c>
    </row>
    <row r="8" spans="3:21" x14ac:dyDescent="0.25">
      <c r="C8" s="120" t="s">
        <v>216</v>
      </c>
      <c r="D8" s="72" t="e">
        <f>Calculator!$J$42</f>
        <v>#N/A</v>
      </c>
      <c r="G8" s="120" t="s">
        <v>216</v>
      </c>
      <c r="H8" s="72">
        <f>Calculator!AP42</f>
        <v>3.4906666666666664</v>
      </c>
      <c r="K8" s="120" t="s">
        <v>216</v>
      </c>
      <c r="L8" s="72" t="str">
        <f>Calculator!BV42</f>
        <v>Error</v>
      </c>
      <c r="O8" s="120" t="s">
        <v>216</v>
      </c>
      <c r="P8" s="72" t="str">
        <f>Calculator!DB42</f>
        <v>Error</v>
      </c>
      <c r="S8" s="120" t="s">
        <v>216</v>
      </c>
      <c r="T8" s="72" t="str">
        <f>Calculator!EH42</f>
        <v>Error</v>
      </c>
    </row>
    <row r="9" spans="3:21" ht="15.75" thickBot="1" x14ac:dyDescent="0.3">
      <c r="C9" s="121" t="s">
        <v>217</v>
      </c>
      <c r="D9" s="73" t="e">
        <f>Calculator!$J$44</f>
        <v>#N/A</v>
      </c>
      <c r="G9" s="121" t="s">
        <v>217</v>
      </c>
      <c r="H9" s="73">
        <f>Calculator!AP44</f>
        <v>1.2262334827522556</v>
      </c>
      <c r="K9" s="121" t="s">
        <v>217</v>
      </c>
      <c r="L9" s="73" t="e">
        <f>Calculator!BV44</f>
        <v>#VALUE!</v>
      </c>
      <c r="O9" s="121" t="s">
        <v>217</v>
      </c>
      <c r="P9" s="73" t="e">
        <f>Calculator!DB44</f>
        <v>#VALUE!</v>
      </c>
      <c r="S9" s="121" t="s">
        <v>217</v>
      </c>
      <c r="T9" s="73" t="e">
        <f>Calculator!EH44</f>
        <v>#VALUE!</v>
      </c>
    </row>
    <row r="12" spans="3:21" ht="15.75" thickBot="1" x14ac:dyDescent="0.3"/>
    <row r="13" spans="3:21" ht="15.75" thickBot="1" x14ac:dyDescent="0.3">
      <c r="C13" s="117" t="s">
        <v>48</v>
      </c>
      <c r="D13" s="55" t="s">
        <v>218</v>
      </c>
      <c r="E13" s="54" t="s">
        <v>219</v>
      </c>
      <c r="G13" s="117" t="s">
        <v>48</v>
      </c>
      <c r="H13" s="55" t="s">
        <v>218</v>
      </c>
      <c r="I13" s="54" t="s">
        <v>219</v>
      </c>
      <c r="K13" s="117" t="s">
        <v>48</v>
      </c>
      <c r="L13" s="55" t="s">
        <v>218</v>
      </c>
      <c r="M13" s="54" t="s">
        <v>219</v>
      </c>
      <c r="O13" s="117" t="s">
        <v>48</v>
      </c>
      <c r="P13" s="55" t="s">
        <v>218</v>
      </c>
      <c r="Q13" s="54" t="s">
        <v>219</v>
      </c>
      <c r="S13" s="117" t="s">
        <v>48</v>
      </c>
      <c r="T13" s="55" t="s">
        <v>218</v>
      </c>
      <c r="U13" s="54" t="s">
        <v>219</v>
      </c>
    </row>
    <row r="14" spans="3:21" x14ac:dyDescent="0.25">
      <c r="C14" s="41" t="s">
        <v>70</v>
      </c>
      <c r="D14" s="72">
        <f>D$6-((D$6-D$7)/6)</f>
        <v>0</v>
      </c>
      <c r="E14" s="78">
        <f>D14*Calculator!$E$16</f>
        <v>0</v>
      </c>
      <c r="G14" s="41" t="s">
        <v>70</v>
      </c>
      <c r="H14" s="72">
        <f>H$6-((H$6-H$7)/6)</f>
        <v>5.6495476190476195</v>
      </c>
      <c r="I14" s="78">
        <f>H14*Calculator!$AK$21</f>
        <v>56.495476190476197</v>
      </c>
      <c r="K14" s="41" t="s">
        <v>70</v>
      </c>
      <c r="L14" s="72" t="e">
        <f>L$6-((L$6-L$7)/6)</f>
        <v>#VALUE!</v>
      </c>
      <c r="M14" s="78" t="e">
        <f>L14*Calculator!$BQ$21</f>
        <v>#VALUE!</v>
      </c>
      <c r="O14" s="41" t="s">
        <v>70</v>
      </c>
      <c r="P14" s="72" t="e">
        <f>P$6-((P$6-P$7)/6)</f>
        <v>#VALUE!</v>
      </c>
      <c r="Q14" s="78" t="e">
        <f>P14*Calculator!$CW$21</f>
        <v>#VALUE!</v>
      </c>
      <c r="S14" s="41" t="s">
        <v>70</v>
      </c>
      <c r="T14" s="72" t="e">
        <f>T$6-((T$6-T$7)/6)</f>
        <v>#VALUE!</v>
      </c>
      <c r="U14" s="78" t="e">
        <f>T14*Calculator!$EC$21</f>
        <v>#VALUE!</v>
      </c>
    </row>
    <row r="15" spans="3:21" x14ac:dyDescent="0.25">
      <c r="C15" s="41" t="s">
        <v>71</v>
      </c>
      <c r="D15" s="72">
        <f>D14-((D$6-D$7)/6)</f>
        <v>0</v>
      </c>
      <c r="E15" s="78">
        <f>D15*Calculator!$E$16</f>
        <v>0</v>
      </c>
      <c r="G15" s="41" t="s">
        <v>71</v>
      </c>
      <c r="H15" s="72">
        <f>H14-((H$6-H$7)/6)</f>
        <v>4.5196380952380952</v>
      </c>
      <c r="I15" s="78">
        <f>H15*Calculator!$AK$21</f>
        <v>45.196380952380949</v>
      </c>
      <c r="K15" s="41" t="s">
        <v>71</v>
      </c>
      <c r="L15" s="72" t="e">
        <f>L14-((L$6-L$7)/6)</f>
        <v>#VALUE!</v>
      </c>
      <c r="M15" s="78" t="e">
        <f>L15*Calculator!$BQ$21</f>
        <v>#VALUE!</v>
      </c>
      <c r="O15" s="41" t="s">
        <v>71</v>
      </c>
      <c r="P15" s="72" t="e">
        <f>P14-((P$6-P$7)/6)</f>
        <v>#VALUE!</v>
      </c>
      <c r="Q15" s="78" t="e">
        <f>P15*Calculator!$CW$21</f>
        <v>#VALUE!</v>
      </c>
      <c r="S15" s="41" t="s">
        <v>71</v>
      </c>
      <c r="T15" s="72" t="e">
        <f>T14-((T$6-T$7)/6)</f>
        <v>#VALUE!</v>
      </c>
      <c r="U15" s="78" t="e">
        <f>T15*Calculator!$EC$21</f>
        <v>#VALUE!</v>
      </c>
    </row>
    <row r="16" spans="3:21" x14ac:dyDescent="0.25">
      <c r="C16" s="41" t="s">
        <v>72</v>
      </c>
      <c r="D16" s="72">
        <f>D15-((D$6-D$7)/6)</f>
        <v>0</v>
      </c>
      <c r="E16" s="78">
        <f>D16*Calculator!$E$16</f>
        <v>0</v>
      </c>
      <c r="G16" s="41" t="s">
        <v>72</v>
      </c>
      <c r="H16" s="72">
        <f>H15-((H$6-H$7)/6)</f>
        <v>3.389728571428571</v>
      </c>
      <c r="I16" s="78">
        <f>H16*Calculator!$AK$21</f>
        <v>33.897285714285708</v>
      </c>
      <c r="K16" s="41" t="s">
        <v>72</v>
      </c>
      <c r="L16" s="72" t="e">
        <f>L15-((L$6-L$7)/6)</f>
        <v>#VALUE!</v>
      </c>
      <c r="M16" s="78" t="e">
        <f>L16*Calculator!$BQ$21</f>
        <v>#VALUE!</v>
      </c>
      <c r="O16" s="41" t="s">
        <v>72</v>
      </c>
      <c r="P16" s="72" t="e">
        <f>P15-((P$6-P$7)/6)</f>
        <v>#VALUE!</v>
      </c>
      <c r="Q16" s="78" t="e">
        <f>P16*Calculator!$CW$21</f>
        <v>#VALUE!</v>
      </c>
      <c r="S16" s="41" t="s">
        <v>72</v>
      </c>
      <c r="T16" s="72" t="e">
        <f>T15-((T$6-T$7)/6)</f>
        <v>#VALUE!</v>
      </c>
      <c r="U16" s="78" t="e">
        <f>T16*Calculator!$EC$21</f>
        <v>#VALUE!</v>
      </c>
    </row>
    <row r="17" spans="3:21" x14ac:dyDescent="0.25">
      <c r="C17" s="41" t="s">
        <v>73</v>
      </c>
      <c r="D17" s="72">
        <f>D16-((D$6-D$7)/6)</f>
        <v>0</v>
      </c>
      <c r="E17" s="78">
        <f>D17*Calculator!$E$16</f>
        <v>0</v>
      </c>
      <c r="G17" s="41" t="s">
        <v>73</v>
      </c>
      <c r="H17" s="72">
        <f>H16-((H$6-H$7)/6)</f>
        <v>2.2598190476190467</v>
      </c>
      <c r="I17" s="78">
        <f>H17*Calculator!$AK$21</f>
        <v>22.598190476190467</v>
      </c>
      <c r="K17" s="41" t="s">
        <v>73</v>
      </c>
      <c r="L17" s="72" t="e">
        <f>L16-((L$6-L$7)/6)</f>
        <v>#VALUE!</v>
      </c>
      <c r="M17" s="78" t="e">
        <f>L17*Calculator!$BQ$21</f>
        <v>#VALUE!</v>
      </c>
      <c r="O17" s="41" t="s">
        <v>73</v>
      </c>
      <c r="P17" s="72" t="e">
        <f>P16-((P$6-P$7)/6)</f>
        <v>#VALUE!</v>
      </c>
      <c r="Q17" s="78" t="e">
        <f>P17*Calculator!$CW$21</f>
        <v>#VALUE!</v>
      </c>
      <c r="S17" s="41" t="s">
        <v>73</v>
      </c>
      <c r="T17" s="72" t="e">
        <f>T16-((T$6-T$7)/6)</f>
        <v>#VALUE!</v>
      </c>
      <c r="U17" s="78" t="e">
        <f>T17*Calculator!$EC$21</f>
        <v>#VALUE!</v>
      </c>
    </row>
    <row r="18" spans="3:21" ht="15.75" thickBot="1" x14ac:dyDescent="0.3">
      <c r="C18" s="42" t="s">
        <v>74</v>
      </c>
      <c r="D18" s="73">
        <f>D17-((D$6-D$7)/6)</f>
        <v>0</v>
      </c>
      <c r="E18" s="80">
        <f>D18*Calculator!$E$16</f>
        <v>0</v>
      </c>
      <c r="G18" s="42" t="s">
        <v>74</v>
      </c>
      <c r="H18" s="73">
        <f>H17-((H$6-H$7)/6)</f>
        <v>1.1299095238095227</v>
      </c>
      <c r="I18" s="80">
        <f>H18*Calculator!$AK$21</f>
        <v>11.299095238095227</v>
      </c>
      <c r="K18" s="42" t="s">
        <v>74</v>
      </c>
      <c r="L18" s="73" t="e">
        <f>L17-((L$6-L$7)/6)</f>
        <v>#VALUE!</v>
      </c>
      <c r="M18" s="80" t="e">
        <f>L18*Calculator!$BQ$21</f>
        <v>#VALUE!</v>
      </c>
      <c r="O18" s="42" t="s">
        <v>74</v>
      </c>
      <c r="P18" s="73" t="e">
        <f>P17-((P$6-P$7)/6)</f>
        <v>#VALUE!</v>
      </c>
      <c r="Q18" s="80" t="e">
        <f>P18*Calculator!$CW$21</f>
        <v>#VALUE!</v>
      </c>
      <c r="S18" s="42" t="s">
        <v>74</v>
      </c>
      <c r="T18" s="73" t="e">
        <f>T17-((T$6-T$7)/6)</f>
        <v>#VALUE!</v>
      </c>
      <c r="U18" s="80" t="e">
        <f>T18*Calculator!$EC$21</f>
        <v>#VALUE!</v>
      </c>
    </row>
    <row r="19" spans="3:21" ht="15.75" thickBot="1" x14ac:dyDescent="0.3">
      <c r="D19" s="123">
        <f>D18-((D$6-D$7)/6)</f>
        <v>0</v>
      </c>
      <c r="E19" s="122">
        <f>D19*Calculator!$E$16</f>
        <v>0</v>
      </c>
      <c r="H19" s="123">
        <f>H18-((H$6-H$7)/6)</f>
        <v>0</v>
      </c>
      <c r="I19" s="122">
        <f>H19*Calculator!$AK$21</f>
        <v>0</v>
      </c>
      <c r="L19" s="123" t="e">
        <f>L18-((L$6-L$7)/6)</f>
        <v>#VALUE!</v>
      </c>
      <c r="M19" s="122" t="e">
        <f>L19*Calculator!$BQ$21</f>
        <v>#VALUE!</v>
      </c>
      <c r="P19" s="123" t="e">
        <f>P18-((P$6-P$7)/6)</f>
        <v>#VALUE!</v>
      </c>
      <c r="Q19" s="122" t="e">
        <f>P19*Calculator!$CW$21</f>
        <v>#VALUE!</v>
      </c>
      <c r="T19" s="123" t="e">
        <f>T18-((T$6-T$7)/6)</f>
        <v>#VALUE!</v>
      </c>
      <c r="U19" s="122" t="e">
        <f>T19*Calculator!$EC$21</f>
        <v>#VALUE!</v>
      </c>
    </row>
    <row r="21" spans="3:21" ht="15.75" thickBot="1" x14ac:dyDescent="0.3"/>
    <row r="22" spans="3:21" ht="15.75" thickBot="1" x14ac:dyDescent="0.3">
      <c r="C22" s="117" t="s">
        <v>220</v>
      </c>
      <c r="D22" s="55" t="s">
        <v>218</v>
      </c>
      <c r="E22" s="54" t="s">
        <v>219</v>
      </c>
      <c r="G22" s="117" t="s">
        <v>220</v>
      </c>
      <c r="H22" s="55" t="s">
        <v>218</v>
      </c>
      <c r="I22" s="54" t="s">
        <v>219</v>
      </c>
      <c r="K22" s="117" t="s">
        <v>220</v>
      </c>
      <c r="L22" s="55" t="s">
        <v>218</v>
      </c>
      <c r="M22" s="54" t="s">
        <v>219</v>
      </c>
      <c r="O22" s="117" t="s">
        <v>220</v>
      </c>
      <c r="P22" s="55" t="s">
        <v>218</v>
      </c>
      <c r="Q22" s="54" t="s">
        <v>219</v>
      </c>
      <c r="S22" s="117" t="s">
        <v>220</v>
      </c>
      <c r="T22" s="55" t="s">
        <v>218</v>
      </c>
      <c r="U22" s="54" t="s">
        <v>219</v>
      </c>
    </row>
    <row r="23" spans="3:21" x14ac:dyDescent="0.25">
      <c r="C23" s="41" t="s">
        <v>70</v>
      </c>
      <c r="D23" s="72" t="e">
        <f>SUM(D$8,D$9,D14)</f>
        <v>#N/A</v>
      </c>
      <c r="E23" s="78" t="e">
        <f>D23*Calculator!$E$16</f>
        <v>#N/A</v>
      </c>
      <c r="G23" s="41" t="s">
        <v>70</v>
      </c>
      <c r="H23" s="72">
        <f>SUM(H$8,H$9,H14)</f>
        <v>10.366447768466543</v>
      </c>
      <c r="I23" s="78">
        <f>H23*Calculator!$AK$21</f>
        <v>103.66447768466543</v>
      </c>
      <c r="K23" s="41" t="s">
        <v>70</v>
      </c>
      <c r="L23" s="72" t="e">
        <f>SUM(L$8,L$9,L14)</f>
        <v>#VALUE!</v>
      </c>
      <c r="M23" s="78" t="e">
        <f>L23*Calculator!$BQ$21</f>
        <v>#VALUE!</v>
      </c>
      <c r="O23" s="41" t="s">
        <v>70</v>
      </c>
      <c r="P23" s="72" t="e">
        <f>SUM(P$8,P$9,P14)</f>
        <v>#VALUE!</v>
      </c>
      <c r="Q23" s="78" t="e">
        <f>P23*Calculator!$CW$21</f>
        <v>#VALUE!</v>
      </c>
      <c r="S23" s="41" t="s">
        <v>70</v>
      </c>
      <c r="T23" s="72" t="e">
        <f>SUM(T$8,T$9,T14)</f>
        <v>#VALUE!</v>
      </c>
      <c r="U23" s="78" t="e">
        <f>T23*Calculator!$EC$21</f>
        <v>#VALUE!</v>
      </c>
    </row>
    <row r="24" spans="3:21" x14ac:dyDescent="0.25">
      <c r="C24" s="41" t="s">
        <v>71</v>
      </c>
      <c r="D24" s="72" t="e">
        <f>SUM(D$8,D$9,D15)</f>
        <v>#N/A</v>
      </c>
      <c r="E24" s="78" t="e">
        <f>D24*Calculator!$E$16</f>
        <v>#N/A</v>
      </c>
      <c r="G24" s="41" t="s">
        <v>71</v>
      </c>
      <c r="H24" s="72">
        <f>SUM(H$8,H$9,H15)</f>
        <v>9.2365382446570177</v>
      </c>
      <c r="I24" s="78">
        <f>H24*Calculator!$AK$21</f>
        <v>92.36538244657018</v>
      </c>
      <c r="K24" s="41" t="s">
        <v>71</v>
      </c>
      <c r="L24" s="72" t="e">
        <f>SUM(L$8,L$9,L15)</f>
        <v>#VALUE!</v>
      </c>
      <c r="M24" s="78" t="e">
        <f>L24*Calculator!$BQ$21</f>
        <v>#VALUE!</v>
      </c>
      <c r="O24" s="41" t="s">
        <v>71</v>
      </c>
      <c r="P24" s="72" t="e">
        <f>SUM(P$8,P$9,P15)</f>
        <v>#VALUE!</v>
      </c>
      <c r="Q24" s="78" t="e">
        <f>P24*Calculator!$CW$21</f>
        <v>#VALUE!</v>
      </c>
      <c r="S24" s="41" t="s">
        <v>71</v>
      </c>
      <c r="T24" s="72" t="e">
        <f>SUM(T$8,T$9,T15)</f>
        <v>#VALUE!</v>
      </c>
      <c r="U24" s="78" t="e">
        <f>T24*Calculator!$EC$21</f>
        <v>#VALUE!</v>
      </c>
    </row>
    <row r="25" spans="3:21" x14ac:dyDescent="0.25">
      <c r="C25" s="41" t="s">
        <v>72</v>
      </c>
      <c r="D25" s="72" t="e">
        <f>SUM(D$8,D$9,D16)</f>
        <v>#N/A</v>
      </c>
      <c r="E25" s="78" t="e">
        <f>D25*Calculator!$E$16</f>
        <v>#N/A</v>
      </c>
      <c r="G25" s="41" t="s">
        <v>72</v>
      </c>
      <c r="H25" s="72">
        <f>SUM(H$8,H$9,H16)</f>
        <v>8.1066287208474925</v>
      </c>
      <c r="I25" s="78">
        <f>H25*Calculator!$AK$21</f>
        <v>81.066287208474932</v>
      </c>
      <c r="K25" s="41" t="s">
        <v>72</v>
      </c>
      <c r="L25" s="72" t="e">
        <f>SUM(L$8,L$9,L16)</f>
        <v>#VALUE!</v>
      </c>
      <c r="M25" s="78" t="e">
        <f>L25*Calculator!$BQ$21</f>
        <v>#VALUE!</v>
      </c>
      <c r="O25" s="41" t="s">
        <v>72</v>
      </c>
      <c r="P25" s="72" t="e">
        <f>SUM(P$8,P$9,P16)</f>
        <v>#VALUE!</v>
      </c>
      <c r="Q25" s="78" t="e">
        <f>P25*Calculator!$CW$21</f>
        <v>#VALUE!</v>
      </c>
      <c r="S25" s="41" t="s">
        <v>72</v>
      </c>
      <c r="T25" s="72" t="e">
        <f>SUM(T$8,T$9,T16)</f>
        <v>#VALUE!</v>
      </c>
      <c r="U25" s="78" t="e">
        <f>T25*Calculator!$EC$21</f>
        <v>#VALUE!</v>
      </c>
    </row>
    <row r="26" spans="3:21" x14ac:dyDescent="0.25">
      <c r="C26" s="41" t="s">
        <v>73</v>
      </c>
      <c r="D26" s="72" t="e">
        <f>SUM(D$8,D$9,D17)</f>
        <v>#N/A</v>
      </c>
      <c r="E26" s="78" t="e">
        <f>D26*Calculator!$E$16</f>
        <v>#N/A</v>
      </c>
      <c r="G26" s="41" t="s">
        <v>73</v>
      </c>
      <c r="H26" s="72">
        <f>SUM(H$8,H$9,H17)</f>
        <v>6.9767191970379692</v>
      </c>
      <c r="I26" s="78">
        <f>H26*Calculator!$AK$21</f>
        <v>69.767191970379685</v>
      </c>
      <c r="K26" s="41" t="s">
        <v>73</v>
      </c>
      <c r="L26" s="72" t="e">
        <f>SUM(L$8,L$9,L17)</f>
        <v>#VALUE!</v>
      </c>
      <c r="M26" s="78" t="e">
        <f>L26*Calculator!$BQ$21</f>
        <v>#VALUE!</v>
      </c>
      <c r="O26" s="41" t="s">
        <v>73</v>
      </c>
      <c r="P26" s="72" t="e">
        <f>SUM(P$8,P$9,P17)</f>
        <v>#VALUE!</v>
      </c>
      <c r="Q26" s="78" t="e">
        <f>P26*Calculator!$CW$21</f>
        <v>#VALUE!</v>
      </c>
      <c r="S26" s="41" t="s">
        <v>73</v>
      </c>
      <c r="T26" s="72" t="e">
        <f>SUM(T$8,T$9,T17)</f>
        <v>#VALUE!</v>
      </c>
      <c r="U26" s="78" t="e">
        <f>T26*Calculator!$EC$21</f>
        <v>#VALUE!</v>
      </c>
    </row>
    <row r="27" spans="3:21" ht="15.75" thickBot="1" x14ac:dyDescent="0.3">
      <c r="C27" s="42" t="s">
        <v>74</v>
      </c>
      <c r="D27" s="73" t="e">
        <f>SUM(D$8,D$9,D18)</f>
        <v>#N/A</v>
      </c>
      <c r="E27" s="80" t="e">
        <f>D27*Calculator!$E$16</f>
        <v>#N/A</v>
      </c>
      <c r="G27" s="42" t="s">
        <v>74</v>
      </c>
      <c r="H27" s="73">
        <f>SUM(H$8,H$9,H18)</f>
        <v>5.8468096732284449</v>
      </c>
      <c r="I27" s="80">
        <f>H27*Calculator!$AK$21</f>
        <v>58.468096732284451</v>
      </c>
      <c r="K27" s="42" t="s">
        <v>74</v>
      </c>
      <c r="L27" s="73" t="e">
        <f>SUM(L$8,L$9,L18)</f>
        <v>#VALUE!</v>
      </c>
      <c r="M27" s="80" t="e">
        <f>L27*Calculator!$BQ$21</f>
        <v>#VALUE!</v>
      </c>
      <c r="O27" s="42" t="s">
        <v>74</v>
      </c>
      <c r="P27" s="73" t="e">
        <f>SUM(P$8,P$9,P18)</f>
        <v>#VALUE!</v>
      </c>
      <c r="Q27" s="80" t="e">
        <f>P27*Calculator!$CW$21</f>
        <v>#VALUE!</v>
      </c>
      <c r="S27" s="42" t="s">
        <v>74</v>
      </c>
      <c r="T27" s="73" t="e">
        <f>SUM(T$8,T$9,T18)</f>
        <v>#VALUE!</v>
      </c>
      <c r="U27" s="80" t="e">
        <f>T27*Calculator!$EC$21</f>
        <v>#VALUE!</v>
      </c>
    </row>
  </sheetData>
  <mergeCells count="1">
    <mergeCell ref="C3:E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8ADE3-8BF7-497B-89DD-71C0D06BFA81}">
  <dimension ref="C1:F12"/>
  <sheetViews>
    <sheetView workbookViewId="0">
      <selection activeCell="L34" sqref="L34"/>
    </sheetView>
  </sheetViews>
  <sheetFormatPr defaultRowHeight="15" x14ac:dyDescent="0.25"/>
  <cols>
    <col min="4" max="4" width="16.42578125" bestFit="1" customWidth="1"/>
    <col min="5" max="5" width="19.28515625" bestFit="1" customWidth="1"/>
    <col min="6" max="6" width="17.140625" bestFit="1" customWidth="1"/>
  </cols>
  <sheetData>
    <row r="1" spans="3:6" ht="15.75" thickBot="1" x14ac:dyDescent="0.3"/>
    <row r="2" spans="3:6" ht="21.75" thickBot="1" x14ac:dyDescent="0.4">
      <c r="C2" s="442" t="s">
        <v>221</v>
      </c>
      <c r="D2" s="443"/>
      <c r="E2" s="443"/>
      <c r="F2" s="444"/>
    </row>
    <row r="3" spans="3:6" ht="15.75" thickBot="1" x14ac:dyDescent="0.3"/>
    <row r="4" spans="3:6" ht="15.75" thickBot="1" x14ac:dyDescent="0.3">
      <c r="C4" s="55" t="s">
        <v>222</v>
      </c>
      <c r="D4" s="53" t="s">
        <v>223</v>
      </c>
      <c r="E4" s="55" t="s">
        <v>224</v>
      </c>
      <c r="F4" s="68" t="s">
        <v>225</v>
      </c>
    </row>
    <row r="5" spans="3:6" x14ac:dyDescent="0.25">
      <c r="C5" s="44" t="s">
        <v>101</v>
      </c>
      <c r="D5" s="2" t="e">
        <f>IF(Calculator!E16="","",IF(Calculator!J68="N/a",(5*Calculator!W48),SUM(Calculator!W77:W81)))</f>
        <v>#N/A</v>
      </c>
      <c r="E5" s="125">
        <f>IF(Calculator!E16="","",5*Calculator!W36)</f>
        <v>667.33334274294089</v>
      </c>
      <c r="F5" s="71" t="e">
        <f t="shared" ref="F5:F8" si="0">IF(D5="","",IF(E5="","",E5-D5))</f>
        <v>#N/A</v>
      </c>
    </row>
    <row r="6" spans="3:6" x14ac:dyDescent="0.25">
      <c r="C6" s="44" t="s">
        <v>102</v>
      </c>
      <c r="D6" s="2">
        <f>IF(Calculator!AK21="","",IF(Calculator!AP68="N/a",(5*Calculator!BC48),SUM(Calculator!BC77:BC81)))</f>
        <v>405.33143604237472</v>
      </c>
      <c r="E6" s="125">
        <f>IF(Calculator!AK21="","",5*Calculator!BC36)</f>
        <v>1007.4778265571454</v>
      </c>
      <c r="F6" s="72">
        <f t="shared" si="0"/>
        <v>602.1463905147707</v>
      </c>
    </row>
    <row r="7" spans="3:6" x14ac:dyDescent="0.25">
      <c r="C7" s="44" t="s">
        <v>103</v>
      </c>
      <c r="D7" s="2" t="str">
        <f>IF(Calculator!BQ21="","",IF(Calculator!BV68="N/a",(5*Calculator!CI48),SUM(Calculator!CI77:CI81)))</f>
        <v/>
      </c>
      <c r="E7" s="125" t="str">
        <f>IF(Calculator!BQ21="","",5*Calculator!CI36)</f>
        <v/>
      </c>
      <c r="F7" s="72" t="str">
        <f t="shared" si="0"/>
        <v/>
      </c>
    </row>
    <row r="8" spans="3:6" x14ac:dyDescent="0.25">
      <c r="C8" s="44" t="s">
        <v>104</v>
      </c>
      <c r="D8" s="2" t="str">
        <f>IF(Calculator!CW21="","",IF(Calculator!DB68="N/a",(5*Calculator!DO48),SUM(Calculator!DO77:DO81)))</f>
        <v/>
      </c>
      <c r="E8" s="125" t="str">
        <f>IF(Calculator!CW21="","",5*Calculator!DO36)</f>
        <v/>
      </c>
      <c r="F8" s="72" t="str">
        <f t="shared" si="0"/>
        <v/>
      </c>
    </row>
    <row r="9" spans="3:6" ht="15.75" thickBot="1" x14ac:dyDescent="0.3">
      <c r="C9" s="49" t="s">
        <v>105</v>
      </c>
      <c r="D9" s="79" t="str">
        <f>IF(Calculator!EC21="","",IF(Calculator!EH68="N/a",(5*Calculator!EU48),SUM(Calculator!EU77:EU81)))</f>
        <v/>
      </c>
      <c r="E9" s="83" t="str">
        <f>IF(Calculator!EC21="","",5*Calculator!EU36)</f>
        <v/>
      </c>
      <c r="F9" s="72" t="str">
        <f>IF(D9="","",IF(E9="","",E9-D9))</f>
        <v/>
      </c>
    </row>
    <row r="10" spans="3:6" ht="15.75" thickBot="1" x14ac:dyDescent="0.3">
      <c r="C10" s="48" t="s">
        <v>226</v>
      </c>
      <c r="D10" s="123" t="e">
        <f>SUM(D5:D9)</f>
        <v>#N/A</v>
      </c>
      <c r="E10" s="126">
        <f t="shared" ref="E10:F10" si="1">SUM(E5:E9)</f>
        <v>1674.8111693000862</v>
      </c>
      <c r="F10" s="123" t="e">
        <f t="shared" si="1"/>
        <v>#N/A</v>
      </c>
    </row>
    <row r="12" spans="3:6" x14ac:dyDescent="0.25">
      <c r="C12" s="40" t="s">
        <v>227</v>
      </c>
    </row>
  </sheetData>
  <mergeCells count="1">
    <mergeCell ref="C2:F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1:U155"/>
  <sheetViews>
    <sheetView zoomScale="70" zoomScaleNormal="70" workbookViewId="0">
      <selection activeCell="N10" sqref="N10"/>
    </sheetView>
  </sheetViews>
  <sheetFormatPr defaultRowHeight="15" x14ac:dyDescent="0.25"/>
  <cols>
    <col min="3" max="3" width="26.28515625" bestFit="1" customWidth="1"/>
    <col min="4" max="4" width="13.85546875" bestFit="1" customWidth="1"/>
    <col min="5" max="5" width="16.5703125" bestFit="1" customWidth="1"/>
    <col min="6" max="6" width="23.28515625" bestFit="1" customWidth="1"/>
    <col min="7" max="7" width="19.28515625" bestFit="1" customWidth="1"/>
    <col min="13" max="13" width="14.140625" bestFit="1" customWidth="1"/>
    <col min="17" max="17" width="11.85546875" customWidth="1"/>
    <col min="33" max="33" width="13" customWidth="1"/>
    <col min="34" max="34" width="13.85546875" customWidth="1"/>
  </cols>
  <sheetData>
    <row r="1" spans="3:17" ht="15.75" thickBot="1" x14ac:dyDescent="0.3"/>
    <row r="2" spans="3:17" ht="21.75" thickBot="1" x14ac:dyDescent="0.4">
      <c r="C2" s="436" t="s">
        <v>228</v>
      </c>
      <c r="D2" s="438"/>
      <c r="E2" s="1"/>
      <c r="F2" s="449" t="str">
        <f>CONCATENATE("This page is currently using the GWP calculation method from ",Calculator!$E$11, " if you wish to use a different method, then this can be adjusted on the Calculator worksheet")</f>
        <v>This page is currently using the GWP calculation method from AR5 if you wish to use a different method, then this can be adjusted on the Calculator worksheet</v>
      </c>
      <c r="G2" s="450"/>
      <c r="H2" s="450"/>
      <c r="I2" s="450"/>
      <c r="J2" s="450"/>
      <c r="K2" s="450"/>
      <c r="L2" s="450"/>
      <c r="M2" s="450"/>
      <c r="N2" s="450"/>
      <c r="O2" s="450"/>
      <c r="P2" s="450"/>
      <c r="Q2" s="451"/>
    </row>
    <row r="3" spans="3:17" ht="15.75" x14ac:dyDescent="0.25">
      <c r="C3" s="76"/>
    </row>
    <row r="4" spans="3:17" ht="16.5" thickBot="1" x14ac:dyDescent="0.3">
      <c r="C4" s="76"/>
    </row>
    <row r="5" spans="3:17" ht="16.5" thickBot="1" x14ac:dyDescent="0.3">
      <c r="C5" s="452" t="s">
        <v>229</v>
      </c>
      <c r="D5" s="453"/>
      <c r="E5" s="453"/>
      <c r="F5" s="453"/>
      <c r="G5" s="454"/>
    </row>
    <row r="6" spans="3:17" x14ac:dyDescent="0.25">
      <c r="C6" s="447" t="s">
        <v>31</v>
      </c>
      <c r="D6" s="447" t="s">
        <v>230</v>
      </c>
      <c r="E6" s="7" t="s">
        <v>231</v>
      </c>
      <c r="F6" s="68" t="s">
        <v>232</v>
      </c>
      <c r="G6" s="447" t="s">
        <v>233</v>
      </c>
    </row>
    <row r="7" spans="3:17" ht="15.75" thickBot="1" x14ac:dyDescent="0.3">
      <c r="C7" s="448"/>
      <c r="D7" s="448"/>
      <c r="E7" s="49" t="s">
        <v>165</v>
      </c>
      <c r="F7" s="51" t="s">
        <v>165</v>
      </c>
      <c r="G7" s="448"/>
    </row>
    <row r="8" spans="3:17" x14ac:dyDescent="0.25">
      <c r="C8" s="44" t="s">
        <v>171</v>
      </c>
      <c r="D8" s="3">
        <f>MIN('Near-natural Fen'!I8:I26)</f>
        <v>-1.0709588477324843</v>
      </c>
      <c r="E8" s="44">
        <f>VLOOKUP(D8,'Near-natural Fen'!I8:J26,2,FALSE)</f>
        <v>2</v>
      </c>
      <c r="F8" s="52">
        <f>'Category Reference Values'!D6</f>
        <v>-5</v>
      </c>
      <c r="G8" s="44" t="str">
        <f t="shared" ref="G8:G13" si="0">IF(E8&lt;=F8,"Minimum permitted","WTD defined")</f>
        <v>WTD defined</v>
      </c>
    </row>
    <row r="9" spans="3:17" x14ac:dyDescent="0.25">
      <c r="C9" s="44" t="s">
        <v>175</v>
      </c>
      <c r="D9" s="3">
        <f>MIN('Re-wetted Fen'!I8:I33)</f>
        <v>2.1722651092447784</v>
      </c>
      <c r="E9" s="44">
        <f>VLOOKUP(D9,'Re-wetted Fen'!I8:J33,2,FALSE)</f>
        <v>8</v>
      </c>
      <c r="F9" s="52">
        <f>'Category Reference Values'!D7</f>
        <v>-5</v>
      </c>
      <c r="G9" s="44" t="str">
        <f t="shared" si="0"/>
        <v>WTD defined</v>
      </c>
    </row>
    <row r="10" spans="3:17" ht="15.75" thickBot="1" x14ac:dyDescent="0.3">
      <c r="C10" s="44" t="s">
        <v>181</v>
      </c>
      <c r="D10" s="3">
        <f>MIN('Modified Fen'!I8:I53)</f>
        <v>-0.79999065244847012</v>
      </c>
      <c r="E10" s="44">
        <f>VLOOKUP(D10,'Modified Fen'!I8:J53,2,FALSE)</f>
        <v>5</v>
      </c>
      <c r="F10" s="52">
        <f>'Category Reference Values'!D8</f>
        <v>5</v>
      </c>
      <c r="G10" s="44" t="str">
        <f t="shared" si="0"/>
        <v>Minimum permitted</v>
      </c>
      <c r="I10" s="77" t="s">
        <v>198</v>
      </c>
    </row>
    <row r="11" spans="3:17" x14ac:dyDescent="0.25">
      <c r="C11" s="46" t="s">
        <v>190</v>
      </c>
      <c r="D11" s="70">
        <f>MIN('Grassland (Extensive)'!I8:I94)</f>
        <v>2.9108252699602626</v>
      </c>
      <c r="E11" s="46">
        <f>VLOOKUP(D11,'Grassland (Extensive)'!I8:J94,2,FALSE)</f>
        <v>14</v>
      </c>
      <c r="F11" s="50">
        <f>'Category Reference Values'!D9</f>
        <v>20</v>
      </c>
      <c r="G11" s="46" t="str">
        <f t="shared" si="0"/>
        <v>Minimum permitted</v>
      </c>
      <c r="I11" s="40" t="s">
        <v>234</v>
      </c>
    </row>
    <row r="12" spans="3:17" x14ac:dyDescent="0.25">
      <c r="C12" s="44" t="s">
        <v>192</v>
      </c>
      <c r="D12" s="3">
        <f>MIN('Grassland - (Intensive)'!I8:I94)</f>
        <v>2.9108252699602626</v>
      </c>
      <c r="E12" s="44">
        <f>VLOOKUP(D12,'Grassland - (Intensive)'!I8:J94,2,FALSE)</f>
        <v>14</v>
      </c>
      <c r="F12" s="52">
        <f>'Category Reference Values'!D10</f>
        <v>30</v>
      </c>
      <c r="G12" s="44" t="str">
        <f t="shared" si="0"/>
        <v>Minimum permitted</v>
      </c>
      <c r="I12" s="40" t="s">
        <v>235</v>
      </c>
    </row>
    <row r="13" spans="3:17" ht="15.75" thickBot="1" x14ac:dyDescent="0.3">
      <c r="C13" s="49" t="s">
        <v>195</v>
      </c>
      <c r="D13" s="69">
        <f>MIN(Cropland!I8:I94)</f>
        <v>2.9108252699602626</v>
      </c>
      <c r="E13" s="49">
        <f>VLOOKUP(D13,Cropland!I8:J94,2,FALSE)</f>
        <v>14</v>
      </c>
      <c r="F13" s="51">
        <f>'Category Reference Values'!D11</f>
        <v>30</v>
      </c>
      <c r="G13" s="49" t="str">
        <f t="shared" si="0"/>
        <v>Minimum permitted</v>
      </c>
      <c r="I13" s="40" t="s">
        <v>236</v>
      </c>
    </row>
    <row r="17" spans="3:13" ht="15.75" thickBot="1" x14ac:dyDescent="0.3"/>
    <row r="18" spans="3:13" ht="16.5" thickBot="1" x14ac:dyDescent="0.3">
      <c r="C18" s="92" t="s">
        <v>237</v>
      </c>
      <c r="D18" s="47"/>
      <c r="E18" s="47"/>
      <c r="F18" s="47"/>
      <c r="G18" s="47"/>
      <c r="H18" s="47"/>
      <c r="I18" s="47"/>
      <c r="J18" s="47"/>
      <c r="K18" s="47"/>
      <c r="L18" s="47"/>
      <c r="M18" s="81"/>
    </row>
    <row r="19" spans="3:13" ht="15.75" thickBot="1" x14ac:dyDescent="0.3">
      <c r="C19" s="455" t="s">
        <v>31</v>
      </c>
      <c r="D19" s="456" t="s">
        <v>238</v>
      </c>
      <c r="E19" s="456"/>
      <c r="F19" s="456"/>
      <c r="G19" s="456"/>
      <c r="H19" s="456"/>
      <c r="I19" s="456"/>
      <c r="J19" s="456"/>
      <c r="K19" s="456"/>
      <c r="L19" s="457"/>
      <c r="M19" s="447" t="s">
        <v>239</v>
      </c>
    </row>
    <row r="20" spans="3:13" ht="15.75" thickBot="1" x14ac:dyDescent="0.3">
      <c r="C20" s="448"/>
      <c r="D20" s="43">
        <v>-5</v>
      </c>
      <c r="E20" s="48">
        <v>0</v>
      </c>
      <c r="F20" s="47">
        <v>5</v>
      </c>
      <c r="G20" s="47">
        <v>10</v>
      </c>
      <c r="H20" s="47">
        <v>20</v>
      </c>
      <c r="I20" s="47">
        <v>30</v>
      </c>
      <c r="J20" s="47">
        <v>50</v>
      </c>
      <c r="K20" s="47">
        <v>70</v>
      </c>
      <c r="L20" s="81">
        <v>100</v>
      </c>
      <c r="M20" s="448"/>
    </row>
    <row r="21" spans="3:13" x14ac:dyDescent="0.25">
      <c r="C21" s="84" t="s">
        <v>171</v>
      </c>
      <c r="D21" s="15">
        <f>IF(AND('Category Reference Values'!$D6&lt;=D$20,D$20&lt;='Category Reference Values'!$E6),IF(Calculator!$E$11='GWP reference values'!$C$6,(((0.334*0.5^((D$20+5)/6.31))*'EF Adjustment Table'!$I9)*(16/12)*'GWP reference values'!$D$6),IF(Calculator!$E$11='GWP reference values'!$C$7,(((0.334*0.5^((D$20+5)/6.31))*'EF Adjustment Table'!$I9)*(16/12)*'GWP reference values'!$D$7),IF(Calculator!$E$11='GWP reference values'!$C$8,(((0.334*0.5^((D$20+5)/6.31))*'EF Adjustment Table'!$I9)*(16/12)*'GWP reference values'!$D$8),"Error"))),"")</f>
        <v>9.2533962495068174</v>
      </c>
      <c r="E21" s="85">
        <f>IF(AND('Category Reference Values'!$D6&lt;=E$20,E$20&lt;='Category Reference Values'!$E6),IF(Calculator!$E$11='GWP reference values'!$C$6,(((0.334*0.5^((E$20+5)/6.31))*'EF Adjustment Table'!$I9)*(16/12)*'GWP reference values'!$D$6),IF(Calculator!$E$11='GWP reference values'!$C$7,(((0.334*0.5^((E$20+5)/6.31))*'EF Adjustment Table'!$I9)*(16/12)*'GWP reference values'!$D$7),IF(Calculator!$E$11='GWP reference values'!$C$8,(((0.334*0.5^((E$20+5)/6.31))*'EF Adjustment Table'!$I9)*(16/12)*'GWP reference values'!$D$8),"Error"))),"")</f>
        <v>5.342777526120523</v>
      </c>
      <c r="F21" s="15">
        <f>IF(AND('Category Reference Values'!$D6&lt;=F$20,F$20&lt;='Category Reference Values'!$E6),IF(Calculator!$E$11='GWP reference values'!$C$6,(((0.334*0.5^((F$20+5)/6.31))*'EF Adjustment Table'!$I9)*(16/12)*'GWP reference values'!$D$6),IF(Calculator!$E$11='GWP reference values'!$C$7,(((0.334*0.5^((F$20+5)/6.31))*'EF Adjustment Table'!$I9)*(16/12)*'GWP reference values'!$D$7),IF(Calculator!$E$11='GWP reference values'!$C$8,(((0.334*0.5^((F$20+5)/6.31))*'EF Adjustment Table'!$I9)*(16/12)*'GWP reference values'!$D$8),"Error"))),"")</f>
        <v>3.0848426808848624</v>
      </c>
      <c r="G21" s="15">
        <f>IF(AND('Category Reference Values'!$D6&lt;=G$20,G$20&lt;='Category Reference Values'!$E6),IF(Calculator!$E$11='GWP reference values'!$C$6,(((0.334*0.5^((G$20+5)/6.31))*'EF Adjustment Table'!$I9)*(16/12)*'GWP reference values'!$D$6),IF(Calculator!$E$11='GWP reference values'!$C$7,(((0.334*0.5^((G$20+5)/6.31))*'EF Adjustment Table'!$I9)*(16/12)*'GWP reference values'!$D$7),IF(Calculator!$E$11='GWP reference values'!$C$8,(((0.334*0.5^((G$20+5)/6.31))*'EF Adjustment Table'!$I9)*(16/12)*'GWP reference values'!$D$8),"Error"))),"")</f>
        <v>1.7811436690531277</v>
      </c>
      <c r="H21" s="15" t="str">
        <f>IF(AND('Category Reference Values'!$D6&lt;=H$20,H$20&lt;='Category Reference Values'!$E6),IF(Calculator!$E$11='GWP reference values'!$C$6,(((0.334*0.5^((H$20+5)/6.31))*'EF Adjustment Table'!$I9)*(16/12)*'GWP reference values'!$D$6),IF(Calculator!$E$11='GWP reference values'!$C$7,(((0.334*0.5^((H$20+5)/6.31))*'EF Adjustment Table'!$I9)*(16/12)*'GWP reference values'!$D$7),IF(Calculator!$E$11='GWP reference values'!$C$8,(((0.334*0.5^((H$20+5)/6.31))*'EF Adjustment Table'!$I9)*(16/12)*'GWP reference values'!$D$8),"Error"))),"")</f>
        <v/>
      </c>
      <c r="I21" s="15" t="str">
        <f>IF(AND('Category Reference Values'!$D6&lt;=I$20,I$20&lt;='Category Reference Values'!$E6),IF(Calculator!$E$11='GWP reference values'!$C$6,(((0.334*0.5^((I$20+5)/6.31))*'EF Adjustment Table'!$I9)*(16/12)*'GWP reference values'!$D$6),IF(Calculator!$E$11='GWP reference values'!$C$7,(((0.334*0.5^((I$20+5)/6.31))*'EF Adjustment Table'!$I9)*(16/12)*'GWP reference values'!$D$7),IF(Calculator!$E$11='GWP reference values'!$C$8,(((0.334*0.5^((I$20+5)/6.31))*'EF Adjustment Table'!$I9)*(16/12)*'GWP reference values'!$D$8),"Error"))),"")</f>
        <v/>
      </c>
      <c r="J21" s="15" t="str">
        <f>IF(AND('Category Reference Values'!$D6&lt;=J$20,J$20&lt;='Category Reference Values'!$E6),IF(Calculator!$E$11='GWP reference values'!$C$6,(((0.334*0.5^((J$20+5)/6.31))*'EF Adjustment Table'!$I9)*(16/12)*'GWP reference values'!$D$6),IF(Calculator!$E$11='GWP reference values'!$C$7,(((0.334*0.5^((J$20+5)/6.31))*'EF Adjustment Table'!$I9)*(16/12)*'GWP reference values'!$D$7),IF(Calculator!$E$11='GWP reference values'!$C$8,(((0.334*0.5^((J$20+5)/6.31))*'EF Adjustment Table'!$I9)*(16/12)*'GWP reference values'!$D$8),"Error"))),"")</f>
        <v/>
      </c>
      <c r="K21" s="15" t="str">
        <f>IF(AND('Category Reference Values'!$D6&lt;=K$20,K$20&lt;='Category Reference Values'!$E6),IF(Calculator!$E$11='GWP reference values'!$C$6,(((0.334*0.5^((K$20+5)/6.31))*'EF Adjustment Table'!$I9)*(16/12)*'GWP reference values'!$D$6),IF(Calculator!$E$11='GWP reference values'!$C$7,(((0.334*0.5^((K$20+5)/6.31))*'EF Adjustment Table'!$I9)*(16/12)*'GWP reference values'!$D$7),IF(Calculator!$E$11='GWP reference values'!$C$8,(((0.334*0.5^((K$20+5)/6.31))*'EF Adjustment Table'!$I9)*(16/12)*'GWP reference values'!$D$8),"Error"))),"")</f>
        <v/>
      </c>
      <c r="L21" s="86" t="str">
        <f>IF(AND('Category Reference Values'!$D6&lt;=L$20,L$20&lt;='Category Reference Values'!$E6),IF(Calculator!$E$11='GWP reference values'!$C$6,(((0.334*0.5^((L$20+5)/6.31))*'EF Adjustment Table'!$I9)*(16/12)*'GWP reference values'!$D$6),IF(Calculator!$E$11='GWP reference values'!$C$7,(((0.334*0.5^((L$20+5)/6.31))*'EF Adjustment Table'!$I9)*(16/12)*'GWP reference values'!$D$7),IF(Calculator!$E$11='GWP reference values'!$C$8,(((0.334*0.5^((L$20+5)/6.31))*'EF Adjustment Table'!$I9)*(16/12)*'GWP reference values'!$D$8),"Error"))),"")</f>
        <v/>
      </c>
      <c r="M21" s="72">
        <f t="shared" ref="M21:M26" si="1">MAX(D21:L21)</f>
        <v>9.2533962495068174</v>
      </c>
    </row>
    <row r="22" spans="3:13" x14ac:dyDescent="0.25">
      <c r="C22" s="84" t="s">
        <v>175</v>
      </c>
      <c r="D22" s="15">
        <f>IF(AND('Category Reference Values'!$D7&lt;=D$20,D$20&lt;='Category Reference Values'!$E7),IF(Calculator!$E$11='GWP reference values'!$C$6,(((0.334*0.5^((D$20+5)/6.31))*'EF Adjustment Table'!$I11)*(16/12)*'GWP reference values'!$D$6),IF(Calculator!$E$11='GWP reference values'!$C$7,(((0.334*0.5^((D$20+5)/6.31))*'EF Adjustment Table'!$I11)*(16/12)*'GWP reference values'!$D$7),IF(Calculator!$E$11='GWP reference values'!$C$8,(((0.334*0.5^((D$20+5)/6.31))*'EF Adjustment Table'!$I11)*(16/12)*'GWP reference values'!$D$8),"Error"))),"")</f>
        <v>19.109244528419008</v>
      </c>
      <c r="E22" s="85">
        <f>IF(AND('Category Reference Values'!$D7&lt;=E$20,E$20&lt;='Category Reference Values'!$E7),IF(Calculator!$E$11='GWP reference values'!$C$6,(((0.334*0.5^((E$20+5)/6.31))*'EF Adjustment Table'!$I11)*(16/12)*'GWP reference values'!$D$6),IF(Calculator!$E$11='GWP reference values'!$C$7,(((0.334*0.5^((E$20+5)/6.31))*'EF Adjustment Table'!$I11)*(16/12)*'GWP reference values'!$D$7),IF(Calculator!$E$11='GWP reference values'!$C$8,(((0.334*0.5^((E$20+5)/6.31))*'EF Adjustment Table'!$I11)*(16/12)*'GWP reference values'!$D$8),"Error"))),"")</f>
        <v>11.033402164423697</v>
      </c>
      <c r="F22" s="15">
        <f>IF(AND('Category Reference Values'!$D7&lt;=F$20,F$20&lt;='Category Reference Values'!$E7),IF(Calculator!$E$11='GWP reference values'!$C$6,(((0.334*0.5^((F$20+5)/6.31))*'EF Adjustment Table'!$I11)*(16/12)*'GWP reference values'!$D$6),IF(Calculator!$E$11='GWP reference values'!$C$7,(((0.334*0.5^((F$20+5)/6.31))*'EF Adjustment Table'!$I11)*(16/12)*'GWP reference values'!$D$7),IF(Calculator!$E$11='GWP reference values'!$C$8,(((0.334*0.5^((F$20+5)/6.31))*'EF Adjustment Table'!$I11)*(16/12)*'GWP reference values'!$D$8),"Error"))),"")</f>
        <v>6.3705272670965858</v>
      </c>
      <c r="G22" s="15">
        <f>IF(AND('Category Reference Values'!$D7&lt;=G$20,G$20&lt;='Category Reference Values'!$E7),IF(Calculator!$E$11='GWP reference values'!$C$6,(((0.334*0.5^((G$20+5)/6.31))*'EF Adjustment Table'!$I11)*(16/12)*'GWP reference values'!$D$6),IF(Calculator!$E$11='GWP reference values'!$C$7,(((0.334*0.5^((G$20+5)/6.31))*'EF Adjustment Table'!$I11)*(16/12)*'GWP reference values'!$D$7),IF(Calculator!$E$11='GWP reference values'!$C$8,(((0.334*0.5^((G$20+5)/6.31))*'EF Adjustment Table'!$I11)*(16/12)*'GWP reference values'!$D$8),"Error"))),"")</f>
        <v>3.6782505573557036</v>
      </c>
      <c r="H22" s="15">
        <f>IF(AND('Category Reference Values'!$D7&lt;=H$20,H$20&lt;='Category Reference Values'!$E7),IF(Calculator!$E$11='GWP reference values'!$C$6,(((0.334*0.5^((H$20+5)/6.31))*'EF Adjustment Table'!$I11)*(16/12)*'GWP reference values'!$D$6),IF(Calculator!$E$11='GWP reference values'!$C$7,(((0.334*0.5^((H$20+5)/6.31))*'EF Adjustment Table'!$I11)*(16/12)*'GWP reference values'!$D$7),IF(Calculator!$E$11='GWP reference values'!$C$8,(((0.334*0.5^((H$20+5)/6.31))*'EF Adjustment Table'!$I11)*(16/12)*'GWP reference values'!$D$8),"Error"))),"")</f>
        <v>1.2262334827522556</v>
      </c>
      <c r="I22" s="15" t="str">
        <f>IF(AND('Category Reference Values'!$D7&lt;=I$20,I$20&lt;='Category Reference Values'!$E7),IF(Calculator!$E$11='GWP reference values'!$C$6,(((0.334*0.5^((I$20+5)/6.31))*'EF Adjustment Table'!$I11)*(16/12)*'GWP reference values'!$D$6),IF(Calculator!$E$11='GWP reference values'!$C$7,(((0.334*0.5^((I$20+5)/6.31))*'EF Adjustment Table'!$I11)*(16/12)*'GWP reference values'!$D$7),IF(Calculator!$E$11='GWP reference values'!$C$8,(((0.334*0.5^((I$20+5)/6.31))*'EF Adjustment Table'!$I11)*(16/12)*'GWP reference values'!$D$8),"Error"))),"")</f>
        <v/>
      </c>
      <c r="J22" s="15" t="str">
        <f>IF(AND('Category Reference Values'!$D7&lt;=J$20,J$20&lt;='Category Reference Values'!$E7),IF(Calculator!$E$11='GWP reference values'!$C$6,(((0.334*0.5^((J$20+5)/6.31))*'EF Adjustment Table'!$I11)*(16/12)*'GWP reference values'!$D$6),IF(Calculator!$E$11='GWP reference values'!$C$7,(((0.334*0.5^((J$20+5)/6.31))*'EF Adjustment Table'!$I11)*(16/12)*'GWP reference values'!$D$7),IF(Calculator!$E$11='GWP reference values'!$C$8,(((0.334*0.5^((J$20+5)/6.31))*'EF Adjustment Table'!$I11)*(16/12)*'GWP reference values'!$D$8),"Error"))),"")</f>
        <v/>
      </c>
      <c r="K22" s="15" t="str">
        <f>IF(AND('Category Reference Values'!$D7&lt;=K$20,K$20&lt;='Category Reference Values'!$E7),IF(Calculator!$E$11='GWP reference values'!$C$6,(((0.334*0.5^((K$20+5)/6.31))*'EF Adjustment Table'!$I11)*(16/12)*'GWP reference values'!$D$6),IF(Calculator!$E$11='GWP reference values'!$C$7,(((0.334*0.5^((K$20+5)/6.31))*'EF Adjustment Table'!$I11)*(16/12)*'GWP reference values'!$D$7),IF(Calculator!$E$11='GWP reference values'!$C$8,(((0.334*0.5^((K$20+5)/6.31))*'EF Adjustment Table'!$I11)*(16/12)*'GWP reference values'!$D$8),"Error"))),"")</f>
        <v/>
      </c>
      <c r="L22" s="86" t="str">
        <f>IF(AND('Category Reference Values'!$D7&lt;=L$20,L$20&lt;='Category Reference Values'!$E7),IF(Calculator!$E$11='GWP reference values'!$C$6,(((0.334*0.5^((L$20+5)/6.31))*'EF Adjustment Table'!$I11)*(16/12)*'GWP reference values'!$D$6),IF(Calculator!$E$11='GWP reference values'!$C$7,(((0.334*0.5^((L$20+5)/6.31))*'EF Adjustment Table'!$I11)*(16/12)*'GWP reference values'!$D$7),IF(Calculator!$E$11='GWP reference values'!$C$8,(((0.334*0.5^((L$20+5)/6.31))*'EF Adjustment Table'!$I11)*(16/12)*'GWP reference values'!$D$8),"Error"))),"")</f>
        <v/>
      </c>
      <c r="M22" s="85">
        <f t="shared" si="1"/>
        <v>19.109244528419008</v>
      </c>
    </row>
    <row r="23" spans="3:13" x14ac:dyDescent="0.25">
      <c r="C23" s="84" t="s">
        <v>181</v>
      </c>
      <c r="D23" s="15" t="str">
        <f>IF(AND('Category Reference Values'!$D8&lt;=D$20,D$20&lt;='Category Reference Values'!$E8),IF(Calculator!$E$11='GWP reference values'!$C$6,(((0.334*0.5^((D$20+5)/6.31))*'EF Adjustment Table'!$I14)*(16/12)*'GWP reference values'!$D$6),IF(Calculator!$E$11='GWP reference values'!$C$7,(((0.334*0.5^((D$20+5)/6.31))*'EF Adjustment Table'!$I14)*(16/12)*'GWP reference values'!$D$7),IF(Calculator!$E$11='GWP reference values'!$C$8,(((0.334*0.5^((D$20+5)/6.31))*'EF Adjustment Table'!$I14)*(16/12)*'GWP reference values'!$D$8),"Error"))),"")</f>
        <v/>
      </c>
      <c r="E23" s="85" t="str">
        <f>IF(AND('Category Reference Values'!$D8&lt;=E$20,E$20&lt;='Category Reference Values'!$E8),IF(Calculator!$E$11='GWP reference values'!$C$6,(((0.334*0.5^((E$20+5)/6.31))*'EF Adjustment Table'!$I14)*(16/12)*'GWP reference values'!$D$6),IF(Calculator!$E$11='GWP reference values'!$C$7,(((0.334*0.5^((E$20+5)/6.31))*'EF Adjustment Table'!$I14)*(16/12)*'GWP reference values'!$D$7),IF(Calculator!$E$11='GWP reference values'!$C$8,(((0.334*0.5^((E$20+5)/6.31))*'EF Adjustment Table'!$I14)*(16/12)*'GWP reference values'!$D$8),"Error"))),"")</f>
        <v/>
      </c>
      <c r="F23" s="15">
        <f>IF(AND('Category Reference Values'!$D8&lt;=F$20,F$20&lt;='Category Reference Values'!$E8),IF(Calculator!$E$11='GWP reference values'!$C$6,(((0.334*0.5^((F$20+5)/6.31))*'EF Adjustment Table'!$I14)*(16/12)*'GWP reference values'!$D$6),IF(Calculator!$E$11='GWP reference values'!$C$7,(((0.334*0.5^((F$20+5)/6.31))*'EF Adjustment Table'!$I14)*(16/12)*'GWP reference values'!$D$7),IF(Calculator!$E$11='GWP reference values'!$C$8,(((0.334*0.5^((F$20+5)/6.31))*'EF Adjustment Table'!$I14)*(16/12)*'GWP reference values'!$D$8),"Error"))),"")</f>
        <v>3.0848426808848624</v>
      </c>
      <c r="G23" s="15">
        <f>IF(AND('Category Reference Values'!$D8&lt;=G$20,G$20&lt;='Category Reference Values'!$E8),IF(Calculator!$E$11='GWP reference values'!$C$6,(((0.334*0.5^((G$20+5)/6.31))*'EF Adjustment Table'!$I14)*(16/12)*'GWP reference values'!$D$6),IF(Calculator!$E$11='GWP reference values'!$C$7,(((0.334*0.5^((G$20+5)/6.31))*'EF Adjustment Table'!$I14)*(16/12)*'GWP reference values'!$D$7),IF(Calculator!$E$11='GWP reference values'!$C$8,(((0.334*0.5^((G$20+5)/6.31))*'EF Adjustment Table'!$I14)*(16/12)*'GWP reference values'!$D$8),"Error"))),"")</f>
        <v>1.7811436690531277</v>
      </c>
      <c r="H23" s="15">
        <f>IF(AND('Category Reference Values'!$D8&lt;=H$20,H$20&lt;='Category Reference Values'!$E8),IF(Calculator!$E$11='GWP reference values'!$C$6,(((0.334*0.5^((H$20+5)/6.31))*'EF Adjustment Table'!$I14)*(16/12)*'GWP reference values'!$D$6),IF(Calculator!$E$11='GWP reference values'!$C$7,(((0.334*0.5^((H$20+5)/6.31))*'EF Adjustment Table'!$I14)*(16/12)*'GWP reference values'!$D$7),IF(Calculator!$E$11='GWP reference values'!$C$8,(((0.334*0.5^((H$20+5)/6.31))*'EF Adjustment Table'!$I14)*(16/12)*'GWP reference values'!$D$8),"Error"))),"")</f>
        <v>0.59378717423624794</v>
      </c>
      <c r="I23" s="15">
        <f>IF(AND('Category Reference Values'!$D8&lt;=I$20,I$20&lt;='Category Reference Values'!$E8),IF(Calculator!$E$11='GWP reference values'!$C$6,(((0.334*0.5^((I$20+5)/6.31))*'EF Adjustment Table'!$I14)*(16/12)*'GWP reference values'!$D$6),IF(Calculator!$E$11='GWP reference values'!$C$7,(((0.334*0.5^((I$20+5)/6.31))*'EF Adjustment Table'!$I14)*(16/12)*'GWP reference values'!$D$7),IF(Calculator!$E$11='GWP reference values'!$C$8,(((0.334*0.5^((I$20+5)/6.31))*'EF Adjustment Table'!$I14)*(16/12)*'GWP reference values'!$D$8),"Error"))),"")</f>
        <v>0.19795326700114238</v>
      </c>
      <c r="J23" s="15">
        <f>IF(AND('Category Reference Values'!$D8&lt;=J$20,J$20&lt;='Category Reference Values'!$E8),IF(Calculator!$E$11='GWP reference values'!$C$6,(((0.334*0.5^((J$20+5)/6.31))*'EF Adjustment Table'!$I14)*(16/12)*'GWP reference values'!$D$6),IF(Calculator!$E$11='GWP reference values'!$C$7,(((0.334*0.5^((J$20+5)/6.31))*'EF Adjustment Table'!$I14)*(16/12)*'GWP reference values'!$D$7),IF(Calculator!$E$11='GWP reference values'!$C$8,(((0.334*0.5^((J$20+5)/6.31))*'EF Adjustment Table'!$I14)*(16/12)*'GWP reference values'!$D$8),"Error"))),"")</f>
        <v>2.200018819215014E-2</v>
      </c>
      <c r="K23" s="15" t="str">
        <f>IF(AND('Category Reference Values'!$D8&lt;=K$20,K$20&lt;='Category Reference Values'!$E8),IF(Calculator!$E$11='GWP reference values'!$C$6,(((0.334*0.5^((K$20+5)/6.31))*'EF Adjustment Table'!$I14)*(16/12)*'GWP reference values'!$D$6),IF(Calculator!$E$11='GWP reference values'!$C$7,(((0.334*0.5^((K$20+5)/6.31))*'EF Adjustment Table'!$I14)*(16/12)*'GWP reference values'!$D$7),IF(Calculator!$E$11='GWP reference values'!$C$8,(((0.334*0.5^((K$20+5)/6.31))*'EF Adjustment Table'!$I14)*(16/12)*'GWP reference values'!$D$8),"Error"))),"")</f>
        <v/>
      </c>
      <c r="L23" s="86" t="str">
        <f>IF(AND('Category Reference Values'!$D8&lt;=L$20,L$20&lt;='Category Reference Values'!$E8),IF(Calculator!$E$11='GWP reference values'!$C$6,(((0.334*0.5^((L$20+5)/6.31))*'EF Adjustment Table'!$I14)*(16/12)*'GWP reference values'!$D$6),IF(Calculator!$E$11='GWP reference values'!$C$7,(((0.334*0.5^((L$20+5)/6.31))*'EF Adjustment Table'!$I14)*(16/12)*'GWP reference values'!$D$7),IF(Calculator!$E$11='GWP reference values'!$C$8,(((0.334*0.5^((L$20+5)/6.31))*'EF Adjustment Table'!$I14)*(16/12)*'GWP reference values'!$D$8),"Error"))),"")</f>
        <v/>
      </c>
      <c r="M23" s="72">
        <f t="shared" si="1"/>
        <v>3.0848426808848624</v>
      </c>
    </row>
    <row r="24" spans="3:13" x14ac:dyDescent="0.25">
      <c r="C24" s="87" t="s">
        <v>190</v>
      </c>
      <c r="D24" s="66" t="str">
        <f>IF(AND('Category Reference Values'!$D9&lt;=D$20,D$20&lt;='Category Reference Values'!$E9),IF(Calculator!$E$11='GWP reference values'!$C$6,(((0.334*0.5^((D$20+5)/6.31))*'EF Adjustment Table'!$I18)*(16/12)*'GWP reference values'!$D$6),IF(Calculator!$E$11='GWP reference values'!$C$7,(((0.334*0.5^((D$20+5)/6.31))*'EF Adjustment Table'!$I18)*(16/12)*'GWP reference values'!$D$7),IF(Calculator!$E$11='GWP reference values'!$C$8,(((0.334*0.5^((D$20+5)/6.31))*'EF Adjustment Table'!$I18)*(16/12)*'GWP reference values'!$D$8),"Error"))),"")</f>
        <v/>
      </c>
      <c r="E24" s="88" t="str">
        <f>IF(AND('Category Reference Values'!$D9&lt;=E$20,E$20&lt;='Category Reference Values'!$E9),IF(Calculator!$E$11='GWP reference values'!$C$6,(((0.334*0.5^((E$20+5)/6.31))*'EF Adjustment Table'!$I18)*(16/12)*'GWP reference values'!$D$6),IF(Calculator!$E$11='GWP reference values'!$C$7,(((0.334*0.5^((E$20+5)/6.31))*'EF Adjustment Table'!$I18)*(16/12)*'GWP reference values'!$D$7),IF(Calculator!$E$11='GWP reference values'!$C$8,(((0.334*0.5^((E$20+5)/6.31))*'EF Adjustment Table'!$I18)*(16/12)*'GWP reference values'!$D$8),"Error"))),"")</f>
        <v/>
      </c>
      <c r="F24" s="66" t="str">
        <f>IF(AND('Category Reference Values'!$D9&lt;=F$20,F$20&lt;='Category Reference Values'!$E9),IF(Calculator!$E$11='GWP reference values'!$C$6,(((0.334*0.5^((F$20+5)/6.31))*'EF Adjustment Table'!$I18)*(16/12)*'GWP reference values'!$D$6),IF(Calculator!$E$11='GWP reference values'!$C$7,(((0.334*0.5^((F$20+5)/6.31))*'EF Adjustment Table'!$I18)*(16/12)*'GWP reference values'!$D$7),IF(Calculator!$E$11='GWP reference values'!$C$8,(((0.334*0.5^((F$20+5)/6.31))*'EF Adjustment Table'!$I18)*(16/12)*'GWP reference values'!$D$8),"Error"))),"")</f>
        <v/>
      </c>
      <c r="G24" s="66" t="str">
        <f>IF(AND('Category Reference Values'!$D9&lt;=G$20,G$20&lt;='Category Reference Values'!$E9),IF(Calculator!$E$11='GWP reference values'!$C$6,(((0.334*0.5^((G$20+5)/6.31))*'EF Adjustment Table'!$I18)*(16/12)*'GWP reference values'!$D$6),IF(Calculator!$E$11='GWP reference values'!$C$7,(((0.334*0.5^((G$20+5)/6.31))*'EF Adjustment Table'!$I18)*(16/12)*'GWP reference values'!$D$7),IF(Calculator!$E$11='GWP reference values'!$C$8,(((0.334*0.5^((G$20+5)/6.31))*'EF Adjustment Table'!$I18)*(16/12)*'GWP reference values'!$D$8),"Error"))),"")</f>
        <v/>
      </c>
      <c r="H24" s="66">
        <f>IF(AND('Category Reference Values'!$D9&lt;=H$20,H$20&lt;='Category Reference Values'!$E9),IF(Calculator!$E$11='GWP reference values'!$C$6,(((0.334*0.5^((H$20+5)/6.31))*'EF Adjustment Table'!$I18)*(16/12)*'GWP reference values'!$D$6),IF(Calculator!$E$11='GWP reference values'!$C$7,(((0.334*0.5^((H$20+5)/6.31))*'EF Adjustment Table'!$I18)*(16/12)*'GWP reference values'!$D$7),IF(Calculator!$E$11='GWP reference values'!$C$8,(((0.334*0.5^((H$20+5)/6.31))*'EF Adjustment Table'!$I18)*(16/12)*'GWP reference values'!$D$8),"Error"))),"")</f>
        <v>1.2262334827522556</v>
      </c>
      <c r="I24" s="66">
        <f>IF(AND('Category Reference Values'!$D9&lt;=I$20,I$20&lt;='Category Reference Values'!$E9),IF(Calculator!$E$11='GWP reference values'!$C$6,(((0.334*0.5^((I$20+5)/6.31))*'EF Adjustment Table'!$I18)*(16/12)*'GWP reference values'!$D$6),IF(Calculator!$E$11='GWP reference values'!$C$7,(((0.334*0.5^((I$20+5)/6.31))*'EF Adjustment Table'!$I18)*(16/12)*'GWP reference values'!$D$7),IF(Calculator!$E$11='GWP reference values'!$C$8,(((0.334*0.5^((I$20+5)/6.31))*'EF Adjustment Table'!$I18)*(16/12)*'GWP reference values'!$D$8),"Error"))),"")</f>
        <v>0.40879448824272024</v>
      </c>
      <c r="J24" s="66">
        <f>IF(AND('Category Reference Values'!$D9&lt;=J$20,J$20&lt;='Category Reference Values'!$E9),IF(Calculator!$E$11='GWP reference values'!$C$6,(((0.334*0.5^((J$20+5)/6.31))*'EF Adjustment Table'!$I18)*(16/12)*'GWP reference values'!$D$6),IF(Calculator!$E$11='GWP reference values'!$C$7,(((0.334*0.5^((J$20+5)/6.31))*'EF Adjustment Table'!$I18)*(16/12)*'GWP reference values'!$D$7),IF(Calculator!$E$11='GWP reference values'!$C$8,(((0.334*0.5^((J$20+5)/6.31))*'EF Adjustment Table'!$I18)*(16/12)*'GWP reference values'!$D$8),"Error"))),"")</f>
        <v>4.5432721619096353E-2</v>
      </c>
      <c r="K24" s="66">
        <f>IF(AND('Category Reference Values'!$D9&lt;=K$20,K$20&lt;='Category Reference Values'!$E9),IF(Calculator!$E$11='GWP reference values'!$C$6,(((0.334*0.5^((K$20+5)/6.31))*'EF Adjustment Table'!$I18)*(16/12)*'GWP reference values'!$D$6),IF(Calculator!$E$11='GWP reference values'!$C$7,(((0.334*0.5^((K$20+5)/6.31))*'EF Adjustment Table'!$I18)*(16/12)*'GWP reference values'!$D$7),IF(Calculator!$E$11='GWP reference values'!$C$8,(((0.334*0.5^((K$20+5)/6.31))*'EF Adjustment Table'!$I18)*(16/12)*'GWP reference values'!$D$8),"Error"))),"")</f>
        <v>5.0493151279787651E-3</v>
      </c>
      <c r="L24" s="89">
        <f>IF(AND('Category Reference Values'!$D9&lt;=L$20,L$20&lt;='Category Reference Values'!$E9),IF(Calculator!$E$11='GWP reference values'!$C$6,(((0.334*0.5^((L$20+5)/6.31))*'EF Adjustment Table'!$I18)*(16/12)*'GWP reference values'!$D$6),IF(Calculator!$E$11='GWP reference values'!$C$7,(((0.334*0.5^((L$20+5)/6.31))*'EF Adjustment Table'!$I18)*(16/12)*'GWP reference values'!$D$7),IF(Calculator!$E$11='GWP reference values'!$C$8,(((0.334*0.5^((L$20+5)/6.31))*'EF Adjustment Table'!$I18)*(16/12)*'GWP reference values'!$D$8),"Error"))),"")</f>
        <v>1.8708030061425048E-4</v>
      </c>
      <c r="M24" s="88">
        <f t="shared" si="1"/>
        <v>1.2262334827522556</v>
      </c>
    </row>
    <row r="25" spans="3:13" x14ac:dyDescent="0.25">
      <c r="C25" s="84" t="s">
        <v>192</v>
      </c>
      <c r="D25" s="15" t="str">
        <f>IF(AND('Category Reference Values'!$D10&lt;=D$20,D$20&lt;='Category Reference Values'!$E10),IF(Calculator!$E$11='GWP reference values'!$C$6,(((0.334*0.5^((D$20+5)/6.31))*'EF Adjustment Table'!$I19)*(16/12)*'GWP reference values'!$D$6),IF(Calculator!$E$11='GWP reference values'!$C$7,(((0.334*0.5^((D$20+5)/6.31))*'EF Adjustment Table'!$I19)*(16/12)*'GWP reference values'!$D$7),IF(Calculator!$E$11='GWP reference values'!$C$8,(((0.334*0.5^((D$20+5)/6.31))*'EF Adjustment Table'!$I19)*(16/12)*'GWP reference values'!$D$8),"Error"))),"")</f>
        <v/>
      </c>
      <c r="E25" s="85" t="str">
        <f>IF(AND('Category Reference Values'!$D10&lt;=E$20,E$20&lt;='Category Reference Values'!$E10),IF(Calculator!$E$11='GWP reference values'!$C$6,(((0.334*0.5^((E$20+5)/6.31))*'EF Adjustment Table'!$I19)*(16/12)*'GWP reference values'!$D$6),IF(Calculator!$E$11='GWP reference values'!$C$7,(((0.334*0.5^((E$20+5)/6.31))*'EF Adjustment Table'!$I19)*(16/12)*'GWP reference values'!$D$7),IF(Calculator!$E$11='GWP reference values'!$C$8,(((0.334*0.5^((E$20+5)/6.31))*'EF Adjustment Table'!$I19)*(16/12)*'GWP reference values'!$D$8),"Error"))),"")</f>
        <v/>
      </c>
      <c r="F25" s="15" t="str">
        <f>IF(AND('Category Reference Values'!$D10&lt;=F$20,F$20&lt;='Category Reference Values'!$E10),IF(Calculator!$E$11='GWP reference values'!$C$6,(((0.334*0.5^((F$20+5)/6.31))*'EF Adjustment Table'!$I19)*(16/12)*'GWP reference values'!$D$6),IF(Calculator!$E$11='GWP reference values'!$C$7,(((0.334*0.5^((F$20+5)/6.31))*'EF Adjustment Table'!$I19)*(16/12)*'GWP reference values'!$D$7),IF(Calculator!$E$11='GWP reference values'!$C$8,(((0.334*0.5^((F$20+5)/6.31))*'EF Adjustment Table'!$I19)*(16/12)*'GWP reference values'!$D$8),"Error"))),"")</f>
        <v/>
      </c>
      <c r="G25" s="15" t="str">
        <f>IF(AND('Category Reference Values'!$D10&lt;=G$20,G$20&lt;='Category Reference Values'!$E10),IF(Calculator!$E$11='GWP reference values'!$C$6,(((0.334*0.5^((G$20+5)/6.31))*'EF Adjustment Table'!$I19)*(16/12)*'GWP reference values'!$D$6),IF(Calculator!$E$11='GWP reference values'!$C$7,(((0.334*0.5^((G$20+5)/6.31))*'EF Adjustment Table'!$I19)*(16/12)*'GWP reference values'!$D$7),IF(Calculator!$E$11='GWP reference values'!$C$8,(((0.334*0.5^((G$20+5)/6.31))*'EF Adjustment Table'!$I19)*(16/12)*'GWP reference values'!$D$8),"Error"))),"")</f>
        <v/>
      </c>
      <c r="H25" s="15" t="str">
        <f>IF(AND('Category Reference Values'!$D10&lt;=H$20,H$20&lt;='Category Reference Values'!$E10),IF(Calculator!$E$11='GWP reference values'!$C$6,(((0.334*0.5^((H$20+5)/6.31))*'EF Adjustment Table'!$I19)*(16/12)*'GWP reference values'!$D$6),IF(Calculator!$E$11='GWP reference values'!$C$7,(((0.334*0.5^((H$20+5)/6.31))*'EF Adjustment Table'!$I19)*(16/12)*'GWP reference values'!$D$7),IF(Calculator!$E$11='GWP reference values'!$C$8,(((0.334*0.5^((H$20+5)/6.31))*'EF Adjustment Table'!$I19)*(16/12)*'GWP reference values'!$D$8),"Error"))),"")</f>
        <v/>
      </c>
      <c r="I25" s="15">
        <f>IF(AND('Category Reference Values'!$D10&lt;=I$20,I$20&lt;='Category Reference Values'!$E10),IF(Calculator!$E$11='GWP reference values'!$C$6,(((0.334*0.5^((I$20+5)/6.31))*'EF Adjustment Table'!$I19)*(16/12)*'GWP reference values'!$D$6),IF(Calculator!$E$11='GWP reference values'!$C$7,(((0.334*0.5^((I$20+5)/6.31))*'EF Adjustment Table'!$I19)*(16/12)*'GWP reference values'!$D$7),IF(Calculator!$E$11='GWP reference values'!$C$8,(((0.334*0.5^((I$20+5)/6.31))*'EF Adjustment Table'!$I19)*(16/12)*'GWP reference values'!$D$8),"Error"))),"")</f>
        <v>0.40879448824272024</v>
      </c>
      <c r="J25" s="15">
        <f>IF(AND('Category Reference Values'!$D10&lt;=J$20,J$20&lt;='Category Reference Values'!$E10),IF(Calculator!$E$11='GWP reference values'!$C$6,(((0.334*0.5^((J$20+5)/6.31))*'EF Adjustment Table'!$I19)*(16/12)*'GWP reference values'!$D$6),IF(Calculator!$E$11='GWP reference values'!$C$7,(((0.334*0.5^((J$20+5)/6.31))*'EF Adjustment Table'!$I19)*(16/12)*'GWP reference values'!$D$7),IF(Calculator!$E$11='GWP reference values'!$C$8,(((0.334*0.5^((J$20+5)/6.31))*'EF Adjustment Table'!$I19)*(16/12)*'GWP reference values'!$D$8),"Error"))),"")</f>
        <v>4.5432721619096353E-2</v>
      </c>
      <c r="K25" s="15">
        <f>IF(AND('Category Reference Values'!$D10&lt;=K$20,K$20&lt;='Category Reference Values'!$E10),IF(Calculator!$E$11='GWP reference values'!$C$6,(((0.334*0.5^((K$20+5)/6.31))*'EF Adjustment Table'!$I19)*(16/12)*'GWP reference values'!$D$6),IF(Calculator!$E$11='GWP reference values'!$C$7,(((0.334*0.5^((K$20+5)/6.31))*'EF Adjustment Table'!$I19)*(16/12)*'GWP reference values'!$D$7),IF(Calculator!$E$11='GWP reference values'!$C$8,(((0.334*0.5^((K$20+5)/6.31))*'EF Adjustment Table'!$I19)*(16/12)*'GWP reference values'!$D$8),"Error"))),"")</f>
        <v>5.0493151279787651E-3</v>
      </c>
      <c r="L25" s="86">
        <f>IF(AND('Category Reference Values'!$D10&lt;=L$20,L$20&lt;='Category Reference Values'!$E10),IF(Calculator!$E$11='GWP reference values'!$C$6,(((0.334*0.5^((L$20+5)/6.31))*'EF Adjustment Table'!$I19)*(16/12)*'GWP reference values'!$D$6),IF(Calculator!$E$11='GWP reference values'!$C$7,(((0.334*0.5^((L$20+5)/6.31))*'EF Adjustment Table'!$I19)*(16/12)*'GWP reference values'!$D$7),IF(Calculator!$E$11='GWP reference values'!$C$8,(((0.334*0.5^((L$20+5)/6.31))*'EF Adjustment Table'!$I19)*(16/12)*'GWP reference values'!$D$8),"Error"))),"")</f>
        <v>1.8708030061425048E-4</v>
      </c>
      <c r="M25" s="85">
        <f t="shared" si="1"/>
        <v>0.40879448824272024</v>
      </c>
    </row>
    <row r="26" spans="3:13" ht="15.75" thickBot="1" x14ac:dyDescent="0.3">
      <c r="C26" s="49" t="s">
        <v>195</v>
      </c>
      <c r="D26" s="79" t="str">
        <f>IF(AND('Category Reference Values'!$D11&lt;=D$20,D$20&lt;='Category Reference Values'!$E11),IF(Calculator!$E$11='GWP reference values'!$C$6,(((0.334*0.5^((D$20+5)/6.31))*'EF Adjustment Table'!$I20)*(16/12)*'GWP reference values'!$D$6),IF(Calculator!$E$11='GWP reference values'!$C$7,(((0.334*0.5^((D$20+5)/6.31))*'EF Adjustment Table'!$I20)*(16/12)*'GWP reference values'!$D$7),IF(Calculator!$E$11='GWP reference values'!$C$8,(((0.334*0.5^((D$20+5)/6.31))*'EF Adjustment Table'!$I20)*(16/12)*'GWP reference values'!$D$8),"Error"))),"")</f>
        <v/>
      </c>
      <c r="E26" s="73" t="str">
        <f>IF(AND('Category Reference Values'!$D11&lt;=E$20,E$20&lt;='Category Reference Values'!$E11),IF(Calculator!$E$11='GWP reference values'!$C$6,(((0.334*0.5^((E$20+5)/6.31))*'EF Adjustment Table'!$I20)*(16/12)*'GWP reference values'!$D$6),IF(Calculator!$E$11='GWP reference values'!$C$7,(((0.334*0.5^((E$20+5)/6.31))*'EF Adjustment Table'!$I20)*(16/12)*'GWP reference values'!$D$7),IF(Calculator!$E$11='GWP reference values'!$C$8,(((0.334*0.5^((E$20+5)/6.31))*'EF Adjustment Table'!$I20)*(16/12)*'GWP reference values'!$D$8),"Error"))),"")</f>
        <v/>
      </c>
      <c r="F26" s="79" t="str">
        <f>IF(AND('Category Reference Values'!$D11&lt;=F$20,F$20&lt;='Category Reference Values'!$E11),IF(Calculator!$E$11='GWP reference values'!$C$6,(((0.334*0.5^((F$20+5)/6.31))*'EF Adjustment Table'!$I20)*(16/12)*'GWP reference values'!$D$6),IF(Calculator!$E$11='GWP reference values'!$C$7,(((0.334*0.5^((F$20+5)/6.31))*'EF Adjustment Table'!$I20)*(16/12)*'GWP reference values'!$D$7),IF(Calculator!$E$11='GWP reference values'!$C$8,(((0.334*0.5^((F$20+5)/6.31))*'EF Adjustment Table'!$I20)*(16/12)*'GWP reference values'!$D$8),"Error"))),"")</f>
        <v/>
      </c>
      <c r="G26" s="79" t="str">
        <f>IF(AND('Category Reference Values'!$D11&lt;=G$20,G$20&lt;='Category Reference Values'!$E11),IF(Calculator!$E$11='GWP reference values'!$C$6,(((0.334*0.5^((G$20+5)/6.31))*'EF Adjustment Table'!$I20)*(16/12)*'GWP reference values'!$D$6),IF(Calculator!$E$11='GWP reference values'!$C$7,(((0.334*0.5^((G$20+5)/6.31))*'EF Adjustment Table'!$I20)*(16/12)*'GWP reference values'!$D$7),IF(Calculator!$E$11='GWP reference values'!$C$8,(((0.334*0.5^((G$20+5)/6.31))*'EF Adjustment Table'!$I20)*(16/12)*'GWP reference values'!$D$8),"Error"))),"")</f>
        <v/>
      </c>
      <c r="H26" s="79" t="str">
        <f>IF(AND('Category Reference Values'!$D11&lt;=H$20,H$20&lt;='Category Reference Values'!$E11),IF(Calculator!$E$11='GWP reference values'!$C$6,(((0.334*0.5^((H$20+5)/6.31))*'EF Adjustment Table'!$I20)*(16/12)*'GWP reference values'!$D$6),IF(Calculator!$E$11='GWP reference values'!$C$7,(((0.334*0.5^((H$20+5)/6.31))*'EF Adjustment Table'!$I20)*(16/12)*'GWP reference values'!$D$7),IF(Calculator!$E$11='GWP reference values'!$C$8,(((0.334*0.5^((H$20+5)/6.31))*'EF Adjustment Table'!$I20)*(16/12)*'GWP reference values'!$D$8),"Error"))),"")</f>
        <v/>
      </c>
      <c r="I26" s="79">
        <f>IF(AND('Category Reference Values'!$D11&lt;=I$20,I$20&lt;='Category Reference Values'!$E11),IF(Calculator!$E$11='GWP reference values'!$C$6,(((0.334*0.5^((I$20+5)/6.31))*'EF Adjustment Table'!$I20)*(16/12)*'GWP reference values'!$D$6),IF(Calculator!$E$11='GWP reference values'!$C$7,(((0.334*0.5^((I$20+5)/6.31))*'EF Adjustment Table'!$I20)*(16/12)*'GWP reference values'!$D$7),IF(Calculator!$E$11='GWP reference values'!$C$8,(((0.334*0.5^((I$20+5)/6.31))*'EF Adjustment Table'!$I20)*(16/12)*'GWP reference values'!$D$8),"Error"))),"")</f>
        <v>0.40879448824272024</v>
      </c>
      <c r="J26" s="79">
        <f>IF(AND('Category Reference Values'!$D11&lt;=J$20,J$20&lt;='Category Reference Values'!$E11),IF(Calculator!$E$11='GWP reference values'!$C$6,(((0.334*0.5^((J$20+5)/6.31))*'EF Adjustment Table'!$I20)*(16/12)*'GWP reference values'!$D$6),IF(Calculator!$E$11='GWP reference values'!$C$7,(((0.334*0.5^((J$20+5)/6.31))*'EF Adjustment Table'!$I20)*(16/12)*'GWP reference values'!$D$7),IF(Calculator!$E$11='GWP reference values'!$C$8,(((0.334*0.5^((J$20+5)/6.31))*'EF Adjustment Table'!$I20)*(16/12)*'GWP reference values'!$D$8),"Error"))),"")</f>
        <v>4.5432721619096353E-2</v>
      </c>
      <c r="K26" s="79">
        <f>IF(AND('Category Reference Values'!$D11&lt;=K$20,K$20&lt;='Category Reference Values'!$E11),IF(Calculator!$E$11='GWP reference values'!$C$6,(((0.334*0.5^((K$20+5)/6.31))*'EF Adjustment Table'!$I20)*(16/12)*'GWP reference values'!$D$6),IF(Calculator!$E$11='GWP reference values'!$C$7,(((0.334*0.5^((K$20+5)/6.31))*'EF Adjustment Table'!$I20)*(16/12)*'GWP reference values'!$D$7),IF(Calculator!$E$11='GWP reference values'!$C$8,(((0.334*0.5^((K$20+5)/6.31))*'EF Adjustment Table'!$I20)*(16/12)*'GWP reference values'!$D$8),"Error"))),"")</f>
        <v>5.0493151279787651E-3</v>
      </c>
      <c r="L26" s="80">
        <f>IF(AND('Category Reference Values'!$D11&lt;=L$20,L$20&lt;='Category Reference Values'!$E11),IF(Calculator!$E$11='GWP reference values'!$C$6,(((0.334*0.5^((L$20+5)/6.31))*'EF Adjustment Table'!$I20)*(16/12)*'GWP reference values'!$D$6),IF(Calculator!$E$11='GWP reference values'!$C$7,(((0.334*0.5^((L$20+5)/6.31))*'EF Adjustment Table'!$I20)*(16/12)*'GWP reference values'!$D$7),IF(Calculator!$E$11='GWP reference values'!$C$8,(((0.334*0.5^((L$20+5)/6.31))*'EF Adjustment Table'!$I20)*(16/12)*'GWP reference values'!$D$8),"Error"))),"")</f>
        <v>1.8708030061425048E-4</v>
      </c>
      <c r="M26" s="73">
        <f t="shared" si="1"/>
        <v>0.40879448824272024</v>
      </c>
    </row>
    <row r="29" spans="3:13" ht="15.75" thickBot="1" x14ac:dyDescent="0.3"/>
    <row r="30" spans="3:13" ht="16.5" thickBot="1" x14ac:dyDescent="0.3">
      <c r="C30" s="92" t="s">
        <v>240</v>
      </c>
      <c r="D30" s="47"/>
      <c r="E30" s="47"/>
      <c r="F30" s="47"/>
      <c r="G30" s="47"/>
      <c r="H30" s="47"/>
      <c r="I30" s="47"/>
      <c r="J30" s="47"/>
      <c r="K30" s="47"/>
      <c r="L30" s="47"/>
      <c r="M30" s="81"/>
    </row>
    <row r="31" spans="3:13" ht="15.75" thickBot="1" x14ac:dyDescent="0.3">
      <c r="C31" s="455" t="s">
        <v>31</v>
      </c>
      <c r="D31" s="456" t="s">
        <v>238</v>
      </c>
      <c r="E31" s="456"/>
      <c r="F31" s="456"/>
      <c r="G31" s="456"/>
      <c r="H31" s="456"/>
      <c r="I31" s="456"/>
      <c r="J31" s="456"/>
      <c r="K31" s="456"/>
      <c r="L31" s="457"/>
      <c r="M31" s="455" t="s">
        <v>239</v>
      </c>
    </row>
    <row r="32" spans="3:13" ht="15.75" thickBot="1" x14ac:dyDescent="0.3">
      <c r="C32" s="448"/>
      <c r="D32" s="43">
        <v>-5</v>
      </c>
      <c r="E32" s="48">
        <v>0</v>
      </c>
      <c r="F32" s="47">
        <v>5</v>
      </c>
      <c r="G32" s="47">
        <v>10</v>
      </c>
      <c r="H32" s="47">
        <v>20</v>
      </c>
      <c r="I32" s="47">
        <v>30</v>
      </c>
      <c r="J32" s="47">
        <v>50</v>
      </c>
      <c r="K32" s="47">
        <v>70</v>
      </c>
      <c r="L32" s="81">
        <v>100</v>
      </c>
      <c r="M32" s="448"/>
    </row>
    <row r="33" spans="3:21" x14ac:dyDescent="0.25">
      <c r="C33" s="84" t="s">
        <v>171</v>
      </c>
      <c r="D33" s="85">
        <f>IF(AND('Category Reference Values'!$D6&lt;=D$32,D$32&lt;='Category Reference Values'!$E6),D21+((0.1341*D$32-1.73)*(44/12)),"")</f>
        <v>0.45156291617348465</v>
      </c>
      <c r="E33" s="85">
        <f>IF(AND('Category Reference Values'!$D6&lt;=E$32,E$32&lt;='Category Reference Values'!$E6),E21+((0.1341*E$32-1.73)*(44/12)),"")</f>
        <v>-1.0005558072128098</v>
      </c>
      <c r="F33" s="90">
        <f>IF(AND('Category Reference Values'!$D6&lt;=F$32,F$32&lt;='Category Reference Values'!$E6),F21+((0.1341*F$32-1.73)*(44/12)),"")</f>
        <v>-0.79999065244847056</v>
      </c>
      <c r="G33" s="15">
        <f>IF(AND('Category Reference Values'!$D6&lt;=G$32,G$32&lt;='Category Reference Values'!$E6),G21+((0.1341*G$32-1.73)*(44/12)),"")</f>
        <v>0.35481033571979448</v>
      </c>
      <c r="H33" s="15" t="str">
        <f>IF(AND('Category Reference Values'!$D6&lt;=H$32,H$32&lt;='Category Reference Values'!$E6),H21+((0.1341*H$32-1.73)*(44/12)),"")</f>
        <v/>
      </c>
      <c r="I33" s="15" t="str">
        <f>IF(AND('Category Reference Values'!$D6&lt;=I$32,I$32&lt;='Category Reference Values'!$E6),I21+((0.1341*I$32-1.73)*(44/12)),"")</f>
        <v/>
      </c>
      <c r="J33" s="15" t="str">
        <f>IF(AND('Category Reference Values'!$D6&lt;=J$32,J$32&lt;='Category Reference Values'!$E6),J21+((0.1341*J$32-1.73)*(44/12)),"")</f>
        <v/>
      </c>
      <c r="K33" s="15" t="str">
        <f>IF(AND('Category Reference Values'!$D6&lt;=K$32,K$32&lt;='Category Reference Values'!$E6),K21+((0.1341*K$32-1.73)*(44/12)),"")</f>
        <v/>
      </c>
      <c r="L33" s="86" t="str">
        <f>IF(AND('Category Reference Values'!$D6&lt;=L$32,L$32&lt;='Category Reference Values'!$E6),L21+((0.1341*L$32-1.73)*(44/12)),"")</f>
        <v/>
      </c>
      <c r="M33" s="72">
        <f t="shared" ref="M33:M38" si="2">MAX(D33:L33)</f>
        <v>0.45156291617348465</v>
      </c>
    </row>
    <row r="34" spans="3:21" x14ac:dyDescent="0.25">
      <c r="C34" s="84" t="s">
        <v>175</v>
      </c>
      <c r="D34" s="85">
        <f>IF(AND('Category Reference Values'!$D7&lt;=D$32,D$32&lt;='Category Reference Values'!$E7),D22+((0.1341*D$32-1.73)*(44/12)),"")</f>
        <v>10.307411195085676</v>
      </c>
      <c r="E34" s="85">
        <f>IF(AND('Category Reference Values'!$D7&lt;=E$32,E$32&lt;='Category Reference Values'!$E7),E22+((0.1341*E$32-1.73)*(44/12)),"")</f>
        <v>4.6900688310903638</v>
      </c>
      <c r="F34" s="90">
        <f>IF(AND('Category Reference Values'!$D7&lt;=F$32,F$32&lt;='Category Reference Values'!$E7),F22+((0.1341*F$32-1.73)*(44/12)),"")</f>
        <v>2.4856939337632529</v>
      </c>
      <c r="G34" s="15">
        <f>IF(AND('Category Reference Values'!$D7&lt;=G$32,G$32&lt;='Category Reference Values'!$E7),G22+((0.1341*G$32-1.73)*(44/12)),"")</f>
        <v>2.2519172240223702</v>
      </c>
      <c r="H34" s="15">
        <f>IF(AND('Category Reference Values'!$D7&lt;=H$32,H$32&lt;='Category Reference Values'!$E7),H22+((0.1341*H$32-1.73)*(44/12)),"")</f>
        <v>4.7169001494189224</v>
      </c>
      <c r="I34" s="15" t="str">
        <f>IF(AND('Category Reference Values'!$D7&lt;=I$32,I$32&lt;='Category Reference Values'!$E7),I22+((0.1341*I$32-1.73)*(44/12)),"")</f>
        <v/>
      </c>
      <c r="J34" s="15" t="str">
        <f>IF(AND('Category Reference Values'!$D7&lt;=J$32,J$32&lt;='Category Reference Values'!$E7),J22+((0.1341*J$32-1.73)*(44/12)),"")</f>
        <v/>
      </c>
      <c r="K34" s="15" t="str">
        <f>IF(AND('Category Reference Values'!$D7&lt;=K$32,K$32&lt;='Category Reference Values'!$E7),K22+((0.1341*K$32-1.73)*(44/12)),"")</f>
        <v/>
      </c>
      <c r="L34" s="86" t="str">
        <f>IF(AND('Category Reference Values'!$D7&lt;=L$32,L$32&lt;='Category Reference Values'!$E7),L22+((0.1341*L$32-1.73)*(44/12)),"")</f>
        <v/>
      </c>
      <c r="M34" s="85">
        <f t="shared" si="2"/>
        <v>10.307411195085676</v>
      </c>
    </row>
    <row r="35" spans="3:21" x14ac:dyDescent="0.25">
      <c r="C35" s="84" t="s">
        <v>181</v>
      </c>
      <c r="D35" s="85" t="str">
        <f>IF(AND('Category Reference Values'!$D8&lt;=D$32,D$32&lt;='Category Reference Values'!$E8),D23+((0.1341*D$32-1.73)*(44/12)),"")</f>
        <v/>
      </c>
      <c r="E35" s="85" t="str">
        <f>IF(AND('Category Reference Values'!$D8&lt;=E$32,E$32&lt;='Category Reference Values'!$E8),E23+((0.1341*E$32-1.73)*(44/12)),"")</f>
        <v/>
      </c>
      <c r="F35" s="90">
        <f>IF(AND('Category Reference Values'!$D8&lt;=F$32,F$32&lt;='Category Reference Values'!$E8),F23+((0.1341*F$32-1.73)*(44/12)),"")</f>
        <v>-0.79999065244847056</v>
      </c>
      <c r="G35" s="15">
        <f>IF(AND('Category Reference Values'!$D8&lt;=G$32,G$32&lt;='Category Reference Values'!$E8),G23+((0.1341*G$32-1.73)*(44/12)),"")</f>
        <v>0.35481033571979448</v>
      </c>
      <c r="H35" s="15">
        <f>IF(AND('Category Reference Values'!$D8&lt;=H$32,H$32&lt;='Category Reference Values'!$E8),H23+((0.1341*H$32-1.73)*(44/12)),"")</f>
        <v>4.0844538409029143</v>
      </c>
      <c r="I35" s="15">
        <f>IF(AND('Category Reference Values'!$D8&lt;=I$32,I$32&lt;='Category Reference Values'!$E8),I23+((0.1341*I$32-1.73)*(44/12)),"")</f>
        <v>8.6056199336678088</v>
      </c>
      <c r="J35" s="15">
        <f>IF(AND('Category Reference Values'!$D8&lt;=J$32,J$32&lt;='Category Reference Values'!$E8),J23+((0.1341*J$32-1.73)*(44/12)),"")</f>
        <v>18.263666854858815</v>
      </c>
      <c r="K35" s="15" t="str">
        <f>IF(AND('Category Reference Values'!$D8&lt;=K$32,K$32&lt;='Category Reference Values'!$E8),K23+((0.1341*K$32-1.73)*(44/12)),"")</f>
        <v/>
      </c>
      <c r="L35" s="86" t="str">
        <f>IF(AND('Category Reference Values'!$D8&lt;=L$32,L$32&lt;='Category Reference Values'!$E8),L23+((0.1341*L$32-1.73)*(44/12)),"")</f>
        <v/>
      </c>
      <c r="M35" s="72">
        <f t="shared" si="2"/>
        <v>18.263666854858815</v>
      </c>
    </row>
    <row r="36" spans="3:21" x14ac:dyDescent="0.25">
      <c r="C36" s="87" t="s">
        <v>190</v>
      </c>
      <c r="D36" s="88" t="str">
        <f>IF(AND('Category Reference Values'!$D9&lt;=D$32,D$32&lt;='Category Reference Values'!$E9),D24+((0.1341*D$32-1.73)*(44/12)),"")</f>
        <v/>
      </c>
      <c r="E36" s="88" t="str">
        <f>IF(AND('Category Reference Values'!$D9&lt;=E$32,E$32&lt;='Category Reference Values'!$E9),E24+((0.1341*E$32-1.73)*(44/12)),"")</f>
        <v/>
      </c>
      <c r="F36" s="91" t="str">
        <f>IF(AND('Category Reference Values'!$D9&lt;=F$32,F$32&lt;='Category Reference Values'!$E9),F24+((0.1341*F$32-1.73)*(44/12)),"")</f>
        <v/>
      </c>
      <c r="G36" s="66" t="str">
        <f>IF(AND('Category Reference Values'!$D9&lt;=G$32,G$32&lt;='Category Reference Values'!$E9),G24+((0.1341*G$32-1.73)*(44/12)),"")</f>
        <v/>
      </c>
      <c r="H36" s="66">
        <f>IF(AND('Category Reference Values'!$D9&lt;=H$32,H$32&lt;='Category Reference Values'!$E9),H24+((0.1341*H$32-1.73)*(44/12)),"")</f>
        <v>4.7169001494189224</v>
      </c>
      <c r="I36" s="66">
        <f>IF(AND('Category Reference Values'!$D9&lt;=I$32,I$32&lt;='Category Reference Values'!$E9),I24+((0.1341*I$32-1.73)*(44/12)),"")</f>
        <v>8.8164611549093852</v>
      </c>
      <c r="J36" s="66">
        <f>IF(AND('Category Reference Values'!$D9&lt;=J$32,J$32&lt;='Category Reference Values'!$E9),J24+((0.1341*J$32-1.73)*(44/12)),"")</f>
        <v>18.28709938828576</v>
      </c>
      <c r="K36" s="66">
        <f>IF(AND('Category Reference Values'!$D9&lt;=K$32,K$32&lt;='Category Reference Values'!$E9),K24+((0.1341*K$32-1.73)*(44/12)),"")</f>
        <v>28.080715981794647</v>
      </c>
      <c r="L36" s="89">
        <f>IF(AND('Category Reference Values'!$D9&lt;=L$32,L$32&lt;='Category Reference Values'!$E9),L24+((0.1341*L$32-1.73)*(44/12)),"")</f>
        <v>42.826853746967274</v>
      </c>
      <c r="M36" s="88">
        <f t="shared" si="2"/>
        <v>42.826853746967274</v>
      </c>
    </row>
    <row r="37" spans="3:21" x14ac:dyDescent="0.25">
      <c r="C37" s="84" t="s">
        <v>192</v>
      </c>
      <c r="D37" s="85" t="str">
        <f>IF(AND('Category Reference Values'!$D10&lt;=D$32,D$32&lt;='Category Reference Values'!$E10),D25+((0.1341*D$32-1.73)*(44/12)),"")</f>
        <v/>
      </c>
      <c r="E37" s="85" t="str">
        <f>IF(AND('Category Reference Values'!$D10&lt;=E$32,E$32&lt;='Category Reference Values'!$E10),E25+((0.1341*E$32-1.73)*(44/12)),"")</f>
        <v/>
      </c>
      <c r="F37" s="90" t="str">
        <f>IF(AND('Category Reference Values'!$D10&lt;=F$32,F$32&lt;='Category Reference Values'!$E10),F25+((0.1341*F$32-1.73)*(44/12)),"")</f>
        <v/>
      </c>
      <c r="G37" s="15" t="str">
        <f>IF(AND('Category Reference Values'!$D10&lt;=G$32,G$32&lt;='Category Reference Values'!$E10),G25+((0.1341*G$32-1.73)*(44/12)),"")</f>
        <v/>
      </c>
      <c r="H37" s="15" t="str">
        <f>IF(AND('Category Reference Values'!$D10&lt;=H$32,H$32&lt;='Category Reference Values'!$E10),H25+((0.1341*H$32-1.73)*(44/12)),"")</f>
        <v/>
      </c>
      <c r="I37" s="15">
        <f>IF(AND('Category Reference Values'!$D10&lt;=I$32,I$32&lt;='Category Reference Values'!$E10),I25+((0.1341*I$32-1.73)*(44/12)),"")</f>
        <v>8.8164611549093852</v>
      </c>
      <c r="J37" s="15">
        <f>IF(AND('Category Reference Values'!$D10&lt;=J$32,J$32&lt;='Category Reference Values'!$E10),J25+((0.1341*J$32-1.73)*(44/12)),"")</f>
        <v>18.28709938828576</v>
      </c>
      <c r="K37" s="15">
        <f>IF(AND('Category Reference Values'!$D10&lt;=K$32,K$32&lt;='Category Reference Values'!$E10),K25+((0.1341*K$32-1.73)*(44/12)),"")</f>
        <v>28.080715981794647</v>
      </c>
      <c r="L37" s="86">
        <f>IF(AND('Category Reference Values'!$D10&lt;=L$32,L$32&lt;='Category Reference Values'!$E10),L25+((0.1341*L$32-1.73)*(44/12)),"")</f>
        <v>42.826853746967274</v>
      </c>
      <c r="M37" s="85">
        <f t="shared" si="2"/>
        <v>42.826853746967274</v>
      </c>
      <c r="O37" s="77" t="s">
        <v>198</v>
      </c>
    </row>
    <row r="38" spans="3:21" ht="15.75" thickBot="1" x14ac:dyDescent="0.3">
      <c r="C38" s="49" t="s">
        <v>195</v>
      </c>
      <c r="D38" s="73" t="str">
        <f>IF(AND('Category Reference Values'!$D11&lt;=D$32,D$32&lt;='Category Reference Values'!$E11),D26+((0.1341*D$32-1.73)*(44/12)),"")</f>
        <v/>
      </c>
      <c r="E38" s="73" t="str">
        <f>IF(AND('Category Reference Values'!$D11&lt;=E$32,E$32&lt;='Category Reference Values'!$E11),E26+((0.1341*E$32-1.73)*(44/12)),"")</f>
        <v/>
      </c>
      <c r="F38" s="83" t="str">
        <f>IF(AND('Category Reference Values'!$D11&lt;=F$32,F$32&lt;='Category Reference Values'!$E11),F26+((0.1341*F$32-1.73)*(44/12)),"")</f>
        <v/>
      </c>
      <c r="G38" s="79" t="str">
        <f>IF(AND('Category Reference Values'!$D11&lt;=G$32,G$32&lt;='Category Reference Values'!$E11),G26+((0.1341*G$32-1.73)*(44/12)),"")</f>
        <v/>
      </c>
      <c r="H38" s="79" t="str">
        <f>IF(AND('Category Reference Values'!$D11&lt;=H$32,H$32&lt;='Category Reference Values'!$E11),H26+((0.1341*H$32-1.73)*(44/12)),"")</f>
        <v/>
      </c>
      <c r="I38" s="79">
        <f>IF(AND('Category Reference Values'!$D11&lt;=I$32,I$32&lt;='Category Reference Values'!$E11),I26+((0.1341*I$32-1.73)*(44/12)),"")</f>
        <v>8.8164611549093852</v>
      </c>
      <c r="J38" s="79">
        <f>IF(AND('Category Reference Values'!$D11&lt;=J$32,J$32&lt;='Category Reference Values'!$E11),J26+((0.1341*J$32-1.73)*(44/12)),"")</f>
        <v>18.28709938828576</v>
      </c>
      <c r="K38" s="79">
        <f>IF(AND('Category Reference Values'!$D11&lt;=K$32,K$32&lt;='Category Reference Values'!$E11),K26+((0.1341*K$32-1.73)*(44/12)),"")</f>
        <v>28.080715981794647</v>
      </c>
      <c r="L38" s="80">
        <f>IF(AND('Category Reference Values'!$D11&lt;=L$32,L$32&lt;='Category Reference Values'!$E11),L26+((0.1341*L$32-1.73)*(44/12)),"")</f>
        <v>42.826853746967274</v>
      </c>
      <c r="M38" s="73">
        <f t="shared" si="2"/>
        <v>42.826853746967274</v>
      </c>
      <c r="O38" s="40" t="s">
        <v>234</v>
      </c>
    </row>
    <row r="47" spans="3:21" ht="15.75" thickBot="1" x14ac:dyDescent="0.3"/>
    <row r="48" spans="3:21" ht="15.75" thickBot="1" x14ac:dyDescent="0.3">
      <c r="T48" s="445" t="s">
        <v>241</v>
      </c>
      <c r="U48" s="446"/>
    </row>
    <row r="49" spans="20:21" ht="15.75" thickBot="1" x14ac:dyDescent="0.3">
      <c r="T49" s="48" t="s">
        <v>242</v>
      </c>
      <c r="U49" s="81" t="s">
        <v>82</v>
      </c>
    </row>
    <row r="50" spans="20:21" x14ac:dyDescent="0.25">
      <c r="T50" s="46">
        <v>-5</v>
      </c>
      <c r="U50" s="82">
        <f>IF(Calculator!$E$11='GWP reference values'!$C$6,(((0.334*0.5^((T50+5)/6.31)))*(16/12)*'GWP reference values'!$D$6),IF(Calculator!$E$11='GWP reference values'!$C$7,(((0.334*0.5^((T50+5)/6.31)))*(16/12)*'GWP reference values'!$D$7),IF(Calculator!$E$11='GWP reference values'!$C$8,(((0.334*0.5^((T50+5)/6.31)))*(16/12)*'GWP reference values'!$D$8),"Error")))</f>
        <v>12.469333333333335</v>
      </c>
    </row>
    <row r="51" spans="20:21" x14ac:dyDescent="0.25">
      <c r="T51" s="44">
        <v>-4</v>
      </c>
      <c r="U51" s="78">
        <f>IF(Calculator!$E$11='GWP reference values'!$C$6,(((0.334*0.5^((T51+5)/6.31)))*(16/12)*'GWP reference values'!$D$6),IF(Calculator!$E$11='GWP reference values'!$C$7,(((0.334*0.5^((T51+5)/6.31)))*(16/12)*'GWP reference values'!$D$7),IF(Calculator!$E$11='GWP reference values'!$C$8,(((0.334*0.5^((T51+5)/6.31)))*(16/12)*'GWP reference values'!$D$8),"Error")))</f>
        <v>11.172141327081166</v>
      </c>
    </row>
    <row r="52" spans="20:21" x14ac:dyDescent="0.25">
      <c r="T52" s="44">
        <v>-3</v>
      </c>
      <c r="U52" s="78">
        <f>IF(Calculator!$E$11='GWP reference values'!$C$6,(((0.334*0.5^((T52+5)/6.31)))*(16/12)*'GWP reference values'!$D$6),IF(Calculator!$E$11='GWP reference values'!$C$7,(((0.334*0.5^((T52+5)/6.31)))*(16/12)*'GWP reference values'!$D$7),IF(Calculator!$E$11='GWP reference values'!$C$8,(((0.334*0.5^((T52+5)/6.31)))*(16/12)*'GWP reference values'!$D$8),"Error")))</f>
        <v>10.00989696045832</v>
      </c>
    </row>
    <row r="53" spans="20:21" x14ac:dyDescent="0.25">
      <c r="T53" s="44">
        <v>-2</v>
      </c>
      <c r="U53" s="78">
        <f>IF(Calculator!$E$11='GWP reference values'!$C$6,(((0.334*0.5^((T53+5)/6.31)))*(16/12)*'GWP reference values'!$D$6),IF(Calculator!$E$11='GWP reference values'!$C$7,(((0.334*0.5^((T53+5)/6.31)))*(16/12)*'GWP reference values'!$D$7),IF(Calculator!$E$11='GWP reference values'!$C$8,(((0.334*0.5^((T53+5)/6.31)))*(16/12)*'GWP reference values'!$D$8),"Error")))</f>
        <v>8.9685615519482909</v>
      </c>
    </row>
    <row r="54" spans="20:21" x14ac:dyDescent="0.25">
      <c r="T54" s="44">
        <v>-1</v>
      </c>
      <c r="U54" s="78">
        <f>IF(Calculator!$E$11='GWP reference values'!$C$6,(((0.334*0.5^((T54+5)/6.31)))*(16/12)*'GWP reference values'!$D$6),IF(Calculator!$E$11='GWP reference values'!$C$7,(((0.334*0.5^((T54+5)/6.31)))*(16/12)*'GWP reference values'!$D$7),IF(Calculator!$E$11='GWP reference values'!$C$8,(((0.334*0.5^((T54+5)/6.31)))*(16/12)*'GWP reference values'!$D$8),"Error")))</f>
        <v>8.0355568722459942</v>
      </c>
    </row>
    <row r="55" spans="20:21" x14ac:dyDescent="0.25">
      <c r="T55" s="44">
        <v>0</v>
      </c>
      <c r="U55" s="78">
        <f>IF(Calculator!$E$11='GWP reference values'!$C$6,(((0.334*0.5^((T55+5)/6.31)))*(16/12)*'GWP reference values'!$D$6),IF(Calculator!$E$11='GWP reference values'!$C$7,(((0.334*0.5^((T55+5)/6.31)))*(16/12)*'GWP reference values'!$D$7),IF(Calculator!$E$11='GWP reference values'!$C$8,(((0.334*0.5^((T55+5)/6.31)))*(16/12)*'GWP reference values'!$D$8),"Error")))</f>
        <v>7.1996132125639338</v>
      </c>
    </row>
    <row r="56" spans="20:21" x14ac:dyDescent="0.25">
      <c r="T56" s="44">
        <v>1</v>
      </c>
      <c r="U56" s="78">
        <f>IF(Calculator!$E$11='GWP reference values'!$C$6,(((0.334*0.5^((T56+5)/6.31)))*(16/12)*'GWP reference values'!$D$6),IF(Calculator!$E$11='GWP reference values'!$C$7,(((0.334*0.5^((T56+5)/6.31)))*(16/12)*'GWP reference values'!$D$7),IF(Calculator!$E$11='GWP reference values'!$C$8,(((0.334*0.5^((T56+5)/6.31)))*(16/12)*'GWP reference values'!$D$8),"Error")))</f>
        <v>6.4506332584809503</v>
      </c>
    </row>
    <row r="57" spans="20:21" x14ac:dyDescent="0.25">
      <c r="T57" s="44">
        <v>2</v>
      </c>
      <c r="U57" s="78">
        <f>IF(Calculator!$E$11='GWP reference values'!$C$6,(((0.334*0.5^((T57+5)/6.31)))*(16/12)*'GWP reference values'!$D$6),IF(Calculator!$E$11='GWP reference values'!$C$7,(((0.334*0.5^((T57+5)/6.31)))*(16/12)*'GWP reference values'!$D$7),IF(Calculator!$E$11='GWP reference values'!$C$8,(((0.334*0.5^((T57+5)/6.31)))*(16/12)*'GWP reference values'!$D$8),"Error")))</f>
        <v>5.7795701250737235</v>
      </c>
    </row>
    <row r="58" spans="20:21" x14ac:dyDescent="0.25">
      <c r="T58" s="44">
        <v>3</v>
      </c>
      <c r="U58" s="78">
        <f>IF(Calculator!$E$11='GWP reference values'!$C$6,(((0.334*0.5^((T58+5)/6.31)))*(16/12)*'GWP reference values'!$D$6),IF(Calculator!$E$11='GWP reference values'!$C$7,(((0.334*0.5^((T58+5)/6.31)))*(16/12)*'GWP reference values'!$D$7),IF(Calculator!$E$11='GWP reference values'!$C$8,(((0.334*0.5^((T58+5)/6.31)))*(16/12)*'GWP reference values'!$D$8),"Error")))</f>
        <v>5.1783180801245567</v>
      </c>
    </row>
    <row r="59" spans="20:21" x14ac:dyDescent="0.25">
      <c r="T59" s="44">
        <v>4</v>
      </c>
      <c r="U59" s="78">
        <f>IF(Calculator!$E$11='GWP reference values'!$C$6,(((0.334*0.5^((T59+5)/6.31)))*(16/12)*'GWP reference values'!$D$6),IF(Calculator!$E$11='GWP reference values'!$C$7,(((0.334*0.5^((T59+5)/6.31)))*(16/12)*'GWP reference values'!$D$7),IF(Calculator!$E$11='GWP reference values'!$C$8,(((0.334*0.5^((T59+5)/6.31)))*(16/12)*'GWP reference values'!$D$8),"Error")))</f>
        <v>4.6396146354574821</v>
      </c>
    </row>
    <row r="60" spans="20:21" x14ac:dyDescent="0.25">
      <c r="T60" s="44">
        <v>5</v>
      </c>
      <c r="U60" s="78">
        <f>IF(Calculator!$E$11='GWP reference values'!$C$6,(((0.334*0.5^((T60+5)/6.31)))*(16/12)*'GWP reference values'!$D$6),IF(Calculator!$E$11='GWP reference values'!$C$7,(((0.334*0.5^((T60+5)/6.31)))*(16/12)*'GWP reference values'!$D$7),IF(Calculator!$E$11='GWP reference values'!$C$8,(((0.334*0.5^((T60+5)/6.31)))*(16/12)*'GWP reference values'!$D$8),"Error")))</f>
        <v>4.1569528237696627</v>
      </c>
    </row>
    <row r="61" spans="20:21" x14ac:dyDescent="0.25">
      <c r="T61" s="44">
        <v>6</v>
      </c>
      <c r="U61" s="78">
        <f>IF(Calculator!$E$11='GWP reference values'!$C$6,(((0.334*0.5^((T61+5)/6.31)))*(16/12)*'GWP reference values'!$D$6),IF(Calculator!$E$11='GWP reference values'!$C$7,(((0.334*0.5^((T61+5)/6.31)))*(16/12)*'GWP reference values'!$D$7),IF(Calculator!$E$11='GWP reference values'!$C$8,(((0.334*0.5^((T61+5)/6.31)))*(16/12)*'GWP reference values'!$D$8),"Error")))</f>
        <v>3.7245026013550944</v>
      </c>
    </row>
    <row r="62" spans="20:21" x14ac:dyDescent="0.25">
      <c r="T62" s="44">
        <v>7</v>
      </c>
      <c r="U62" s="78">
        <f>IF(Calculator!$E$11='GWP reference values'!$C$6,(((0.334*0.5^((T62+5)/6.31)))*(16/12)*'GWP reference values'!$D$6),IF(Calculator!$E$11='GWP reference values'!$C$7,(((0.334*0.5^((T62+5)/6.31)))*(16/12)*'GWP reference values'!$D$7),IF(Calculator!$E$11='GWP reference values'!$C$8,(((0.334*0.5^((T62+5)/6.31)))*(16/12)*'GWP reference values'!$D$8),"Error")))</f>
        <v>3.3370404273487408</v>
      </c>
    </row>
    <row r="63" spans="20:21" x14ac:dyDescent="0.25">
      <c r="T63" s="44">
        <v>8</v>
      </c>
      <c r="U63" s="78">
        <f>IF(Calculator!$E$11='GWP reference values'!$C$6,(((0.334*0.5^((T63+5)/6.31)))*(16/12)*'GWP reference values'!$D$6),IF(Calculator!$E$11='GWP reference values'!$C$7,(((0.334*0.5^((T63+5)/6.31)))*(16/12)*'GWP reference values'!$D$7),IF(Calculator!$E$11='GWP reference values'!$C$8,(((0.334*0.5^((T63+5)/6.31)))*(16/12)*'GWP reference values'!$D$8),"Error")))</f>
        <v>2.9898861688828706</v>
      </c>
    </row>
    <row r="64" spans="20:21" x14ac:dyDescent="0.25">
      <c r="T64" s="44">
        <v>9</v>
      </c>
      <c r="U64" s="78">
        <f>IF(Calculator!$E$11='GWP reference values'!$C$6,(((0.334*0.5^((T64+5)/6.31)))*(16/12)*'GWP reference values'!$D$6),IF(Calculator!$E$11='GWP reference values'!$C$7,(((0.334*0.5^((T64+5)/6.31)))*(16/12)*'GWP reference values'!$D$7),IF(Calculator!$E$11='GWP reference values'!$C$8,(((0.334*0.5^((T64+5)/6.31)))*(16/12)*'GWP reference values'!$D$8),"Error")))</f>
        <v>2.6788465700367325</v>
      </c>
    </row>
    <row r="65" spans="20:21" x14ac:dyDescent="0.25">
      <c r="T65" s="44">
        <v>10</v>
      </c>
      <c r="U65" s="78">
        <f>IF(Calculator!$E$11='GWP reference values'!$C$6,(((0.334*0.5^((T65+5)/6.31)))*(16/12)*'GWP reference values'!$D$6),IF(Calculator!$E$11='GWP reference values'!$C$7,(((0.334*0.5^((T65+5)/6.31)))*(16/12)*'GWP reference values'!$D$7),IF(Calculator!$E$11='GWP reference values'!$C$8,(((0.334*0.5^((T65+5)/6.31)))*(16/12)*'GWP reference values'!$D$8),"Error")))</f>
        <v>2.400164601744307</v>
      </c>
    </row>
    <row r="66" spans="20:21" x14ac:dyDescent="0.25">
      <c r="T66" s="44">
        <v>11</v>
      </c>
      <c r="U66" s="78">
        <f>IF(Calculator!$E$11='GWP reference values'!$C$6,(((0.334*0.5^((T66+5)/6.31)))*(16/12)*'GWP reference values'!$D$6),IF(Calculator!$E$11='GWP reference values'!$C$7,(((0.334*0.5^((T66+5)/6.31)))*(16/12)*'GWP reference values'!$D$7),IF(Calculator!$E$11='GWP reference values'!$C$8,(((0.334*0.5^((T66+5)/6.31)))*(16/12)*'GWP reference values'!$D$8),"Error")))</f>
        <v>2.1504740808606346</v>
      </c>
    </row>
    <row r="67" spans="20:21" x14ac:dyDescent="0.25">
      <c r="T67" s="44">
        <v>12</v>
      </c>
      <c r="U67" s="78">
        <f>IF(Calculator!$E$11='GWP reference values'!$C$6,(((0.334*0.5^((T67+5)/6.31)))*(16/12)*'GWP reference values'!$D$6),IF(Calculator!$E$11='GWP reference values'!$C$7,(((0.334*0.5^((T67+5)/6.31)))*(16/12)*'GWP reference values'!$D$7),IF(Calculator!$E$11='GWP reference values'!$C$8,(((0.334*0.5^((T67+5)/6.31)))*(16/12)*'GWP reference values'!$D$8),"Error")))</f>
        <v>1.9267590102331043</v>
      </c>
    </row>
    <row r="68" spans="20:21" x14ac:dyDescent="0.25">
      <c r="T68" s="44">
        <v>13</v>
      </c>
      <c r="U68" s="78">
        <f>IF(Calculator!$E$11='GWP reference values'!$C$6,(((0.334*0.5^((T68+5)/6.31)))*(16/12)*'GWP reference values'!$D$6),IF(Calculator!$E$11='GWP reference values'!$C$7,(((0.334*0.5^((T68+5)/6.31)))*(16/12)*'GWP reference values'!$D$7),IF(Calculator!$E$11='GWP reference values'!$C$8,(((0.334*0.5^((T68+5)/6.31)))*(16/12)*'GWP reference values'!$D$8),"Error")))</f>
        <v>1.7263171486487867</v>
      </c>
    </row>
    <row r="69" spans="20:21" x14ac:dyDescent="0.25">
      <c r="T69" s="44">
        <v>14</v>
      </c>
      <c r="U69" s="78">
        <f>IF(Calculator!$E$11='GWP reference values'!$C$6,(((0.334*0.5^((T69+5)/6.31)))*(16/12)*'GWP reference values'!$D$6),IF(Calculator!$E$11='GWP reference values'!$C$7,(((0.334*0.5^((T69+5)/6.31)))*(16/12)*'GWP reference values'!$D$7),IF(Calculator!$E$11='GWP reference values'!$C$8,(((0.334*0.5^((T69+5)/6.31)))*(16/12)*'GWP reference values'!$D$8),"Error")))</f>
        <v>1.5467273706213673</v>
      </c>
    </row>
    <row r="70" spans="20:21" x14ac:dyDescent="0.25">
      <c r="T70" s="44">
        <v>15</v>
      </c>
      <c r="U70" s="78">
        <f>IF(Calculator!$E$11='GWP reference values'!$C$6,(((0.334*0.5^((T70+5)/6.31)))*(16/12)*'GWP reference values'!$D$6),IF(Calculator!$E$11='GWP reference values'!$C$7,(((0.334*0.5^((T70+5)/6.31)))*(16/12)*'GWP reference values'!$D$7),IF(Calculator!$E$11='GWP reference values'!$C$8,(((0.334*0.5^((T70+5)/6.31)))*(16/12)*'GWP reference values'!$D$8),"Error")))</f>
        <v>1.3858204217584396</v>
      </c>
    </row>
    <row r="71" spans="20:21" x14ac:dyDescent="0.25">
      <c r="T71" s="44">
        <v>16</v>
      </c>
      <c r="U71" s="78">
        <f>IF(Calculator!$E$11='GWP reference values'!$C$6,(((0.334*0.5^((T71+5)/6.31)))*(16/12)*'GWP reference values'!$D$6),IF(Calculator!$E$11='GWP reference values'!$C$7,(((0.334*0.5^((T71+5)/6.31)))*(16/12)*'GWP reference values'!$D$7),IF(Calculator!$E$11='GWP reference values'!$C$8,(((0.334*0.5^((T71+5)/6.31)))*(16/12)*'GWP reference values'!$D$8),"Error")))</f>
        <v>1.2416527164649687</v>
      </c>
    </row>
    <row r="72" spans="20:21" x14ac:dyDescent="0.25">
      <c r="T72" s="44">
        <v>17</v>
      </c>
      <c r="U72" s="78">
        <f>IF(Calculator!$E$11='GWP reference values'!$C$6,(((0.334*0.5^((T72+5)/6.31)))*(16/12)*'GWP reference values'!$D$6),IF(Calculator!$E$11='GWP reference values'!$C$7,(((0.334*0.5^((T72+5)/6.31)))*(16/12)*'GWP reference values'!$D$7),IF(Calculator!$E$11='GWP reference values'!$C$8,(((0.334*0.5^((T72+5)/6.31)))*(16/12)*'GWP reference values'!$D$8),"Error")))</f>
        <v>1.1124828614869173</v>
      </c>
    </row>
    <row r="73" spans="20:21" x14ac:dyDescent="0.25">
      <c r="T73" s="44">
        <v>18</v>
      </c>
      <c r="U73" s="78">
        <f>IF(Calculator!$E$11='GWP reference values'!$C$6,(((0.334*0.5^((T73+5)/6.31)))*(16/12)*'GWP reference values'!$D$6),IF(Calculator!$E$11='GWP reference values'!$C$7,(((0.334*0.5^((T73+5)/6.31)))*(16/12)*'GWP reference values'!$D$7),IF(Calculator!$E$11='GWP reference values'!$C$8,(((0.334*0.5^((T73+5)/6.31)))*(16/12)*'GWP reference values'!$D$8),"Error")))</f>
        <v>0.99675062172429718</v>
      </c>
    </row>
    <row r="74" spans="20:21" x14ac:dyDescent="0.25">
      <c r="T74" s="44">
        <v>19</v>
      </c>
      <c r="U74" s="78">
        <f>IF(Calculator!$E$11='GWP reference values'!$C$6,(((0.334*0.5^((T74+5)/6.31)))*(16/12)*'GWP reference values'!$D$6),IF(Calculator!$E$11='GWP reference values'!$C$7,(((0.334*0.5^((T74+5)/6.31)))*(16/12)*'GWP reference values'!$D$7),IF(Calculator!$E$11='GWP reference values'!$C$8,(((0.334*0.5^((T74+5)/6.31)))*(16/12)*'GWP reference values'!$D$8),"Error")))</f>
        <v>0.89305807424293204</v>
      </c>
    </row>
    <row r="75" spans="20:21" x14ac:dyDescent="0.25">
      <c r="T75" s="44">
        <v>20</v>
      </c>
      <c r="U75" s="78">
        <f>IF(Calculator!$E$11='GWP reference values'!$C$6,(((0.334*0.5^((T75+5)/6.31)))*(16/12)*'GWP reference values'!$D$6),IF(Calculator!$E$11='GWP reference values'!$C$7,(((0.334*0.5^((T75+5)/6.31)))*(16/12)*'GWP reference values'!$D$7),IF(Calculator!$E$11='GWP reference values'!$C$8,(((0.334*0.5^((T75+5)/6.31)))*(16/12)*'GWP reference values'!$D$8),"Error")))</f>
        <v>0.80015272284535266</v>
      </c>
    </row>
    <row r="76" spans="20:21" x14ac:dyDescent="0.25">
      <c r="T76" s="44">
        <v>21</v>
      </c>
      <c r="U76" s="78">
        <f>IF(Calculator!$E$11='GWP reference values'!$C$6,(((0.334*0.5^((T76+5)/6.31)))*(16/12)*'GWP reference values'!$D$6),IF(Calculator!$E$11='GWP reference values'!$C$7,(((0.334*0.5^((T76+5)/6.31)))*(16/12)*'GWP reference values'!$D$7),IF(Calculator!$E$11='GWP reference values'!$C$8,(((0.334*0.5^((T76+5)/6.31)))*(16/12)*'GWP reference values'!$D$8),"Error")))</f>
        <v>0.71691236924270907</v>
      </c>
    </row>
    <row r="77" spans="20:21" x14ac:dyDescent="0.25">
      <c r="T77" s="44">
        <v>22</v>
      </c>
      <c r="U77" s="78">
        <f>IF(Calculator!$E$11='GWP reference values'!$C$6,(((0.334*0.5^((T77+5)/6.31)))*(16/12)*'GWP reference values'!$D$6),IF(Calculator!$E$11='GWP reference values'!$C$7,(((0.334*0.5^((T77+5)/6.31)))*(16/12)*'GWP reference values'!$D$7),IF(Calculator!$E$11='GWP reference values'!$C$8,(((0.334*0.5^((T77+5)/6.31)))*(16/12)*'GWP reference values'!$D$8),"Error")))</f>
        <v>0.64233155808747944</v>
      </c>
    </row>
    <row r="78" spans="20:21" x14ac:dyDescent="0.25">
      <c r="T78" s="44">
        <v>23</v>
      </c>
      <c r="U78" s="78">
        <f>IF(Calculator!$E$11='GWP reference values'!$C$6,(((0.334*0.5^((T78+5)/6.31)))*(16/12)*'GWP reference values'!$D$6),IF(Calculator!$E$11='GWP reference values'!$C$7,(((0.334*0.5^((T78+5)/6.31)))*(16/12)*'GWP reference values'!$D$7),IF(Calculator!$E$11='GWP reference values'!$C$8,(((0.334*0.5^((T78+5)/6.31)))*(16/12)*'GWP reference values'!$D$8),"Error")))</f>
        <v>0.57550943213731554</v>
      </c>
    </row>
    <row r="79" spans="20:21" x14ac:dyDescent="0.25">
      <c r="T79" s="44">
        <v>24</v>
      </c>
      <c r="U79" s="78">
        <f>IF(Calculator!$E$11='GWP reference values'!$C$6,(((0.334*0.5^((T79+5)/6.31)))*(16/12)*'GWP reference values'!$D$6),IF(Calculator!$E$11='GWP reference values'!$C$7,(((0.334*0.5^((T79+5)/6.31)))*(16/12)*'GWP reference values'!$D$7),IF(Calculator!$E$11='GWP reference values'!$C$8,(((0.334*0.5^((T79+5)/6.31)))*(16/12)*'GWP reference values'!$D$8),"Error")))</f>
        <v>0.51563885085326555</v>
      </c>
    </row>
    <row r="80" spans="20:21" x14ac:dyDescent="0.25">
      <c r="T80" s="44">
        <v>25</v>
      </c>
      <c r="U80" s="78">
        <f>IF(Calculator!$E$11='GWP reference values'!$C$6,(((0.334*0.5^((T80+5)/6.31)))*(16/12)*'GWP reference values'!$D$6),IF(Calculator!$E$11='GWP reference values'!$C$7,(((0.334*0.5^((T80+5)/6.31)))*(16/12)*'GWP reference values'!$D$7),IF(Calculator!$E$11='GWP reference values'!$C$8,(((0.334*0.5^((T80+5)/6.31)))*(16/12)*'GWP reference values'!$D$8),"Error")))</f>
        <v>0.46199664099655763</v>
      </c>
    </row>
    <row r="81" spans="20:21" x14ac:dyDescent="0.25">
      <c r="T81" s="44">
        <v>26</v>
      </c>
      <c r="U81" s="78">
        <f>IF(Calculator!$E$11='GWP reference values'!$C$6,(((0.334*0.5^((T81+5)/6.31)))*(16/12)*'GWP reference values'!$D$6),IF(Calculator!$E$11='GWP reference values'!$C$7,(((0.334*0.5^((T81+5)/6.31)))*(16/12)*'GWP reference values'!$D$7),IF(Calculator!$E$11='GWP reference values'!$C$8,(((0.334*0.5^((T81+5)/6.31)))*(16/12)*'GWP reference values'!$D$8),"Error")))</f>
        <v>0.41393486146147768</v>
      </c>
    </row>
    <row r="82" spans="20:21" x14ac:dyDescent="0.25">
      <c r="T82" s="44">
        <v>27</v>
      </c>
      <c r="U82" s="78">
        <f>IF(Calculator!$E$11='GWP reference values'!$C$6,(((0.334*0.5^((T82+5)/6.31)))*(16/12)*'GWP reference values'!$D$6),IF(Calculator!$E$11='GWP reference values'!$C$7,(((0.334*0.5^((T82+5)/6.31)))*(16/12)*'GWP reference values'!$D$7),IF(Calculator!$E$11='GWP reference values'!$C$8,(((0.334*0.5^((T82+5)/6.31)))*(16/12)*'GWP reference values'!$D$8),"Error")))</f>
        <v>0.37087297683276782</v>
      </c>
    </row>
    <row r="83" spans="20:21" x14ac:dyDescent="0.25">
      <c r="T83" s="44">
        <v>28</v>
      </c>
      <c r="U83" s="78">
        <f>IF(Calculator!$E$11='GWP reference values'!$C$6,(((0.334*0.5^((T83+5)/6.31)))*(16/12)*'GWP reference values'!$D$6),IF(Calculator!$E$11='GWP reference values'!$C$7,(((0.334*0.5^((T83+5)/6.31)))*(16/12)*'GWP reference values'!$D$7),IF(Calculator!$E$11='GWP reference values'!$C$8,(((0.334*0.5^((T83+5)/6.31)))*(16/12)*'GWP reference values'!$D$8),"Error")))</f>
        <v>0.33229084513240337</v>
      </c>
    </row>
    <row r="84" spans="20:21" x14ac:dyDescent="0.25">
      <c r="T84" s="44">
        <v>29</v>
      </c>
      <c r="U84" s="78">
        <f>IF(Calculator!$E$11='GWP reference values'!$C$6,(((0.334*0.5^((T84+5)/6.31)))*(16/12)*'GWP reference values'!$D$6),IF(Calculator!$E$11='GWP reference values'!$C$7,(((0.334*0.5^((T84+5)/6.31)))*(16/12)*'GWP reference values'!$D$7),IF(Calculator!$E$11='GWP reference values'!$C$8,(((0.334*0.5^((T84+5)/6.31)))*(16/12)*'GWP reference values'!$D$8),"Error")))</f>
        <v>0.29772243505515811</v>
      </c>
    </row>
    <row r="85" spans="20:21" x14ac:dyDescent="0.25">
      <c r="T85" s="44">
        <v>30</v>
      </c>
      <c r="U85" s="78">
        <f>IF(Calculator!$E$11='GWP reference values'!$C$6,(((0.334*0.5^((T85+5)/6.31)))*(16/12)*'GWP reference values'!$D$6),IF(Calculator!$E$11='GWP reference values'!$C$7,(((0.334*0.5^((T85+5)/6.31)))*(16/12)*'GWP reference values'!$D$7),IF(Calculator!$E$11='GWP reference values'!$C$8,(((0.334*0.5^((T85+5)/6.31)))*(16/12)*'GWP reference values'!$D$8),"Error")))</f>
        <v>0.26675019680380968</v>
      </c>
    </row>
    <row r="86" spans="20:21" x14ac:dyDescent="0.25">
      <c r="T86" s="44">
        <v>31</v>
      </c>
      <c r="U86" s="78">
        <f>IF(Calculator!$E$11='GWP reference values'!$C$6,(((0.334*0.5^((T86+5)/6.31)))*(16/12)*'GWP reference values'!$D$6),IF(Calculator!$E$11='GWP reference values'!$C$7,(((0.334*0.5^((T86+5)/6.31)))*(16/12)*'GWP reference values'!$D$7),IF(Calculator!$E$11='GWP reference values'!$C$8,(((0.334*0.5^((T86+5)/6.31)))*(16/12)*'GWP reference values'!$D$8),"Error")))</f>
        <v>0.2390000185296362</v>
      </c>
    </row>
    <row r="87" spans="20:21" x14ac:dyDescent="0.25">
      <c r="T87" s="44">
        <v>32</v>
      </c>
      <c r="U87" s="78">
        <f>IF(Calculator!$E$11='GWP reference values'!$C$6,(((0.334*0.5^((T87+5)/6.31)))*(16/12)*'GWP reference values'!$D$6),IF(Calculator!$E$11='GWP reference values'!$C$7,(((0.334*0.5^((T87+5)/6.31)))*(16/12)*'GWP reference values'!$D$7),IF(Calculator!$E$11='GWP reference values'!$C$8,(((0.334*0.5^((T87+5)/6.31)))*(16/12)*'GWP reference values'!$D$8),"Error")))</f>
        <v>0.21413670745734442</v>
      </c>
    </row>
    <row r="88" spans="20:21" x14ac:dyDescent="0.25">
      <c r="T88" s="44">
        <v>33</v>
      </c>
      <c r="U88" s="78">
        <f>IF(Calculator!$E$11='GWP reference values'!$C$6,(((0.334*0.5^((T88+5)/6.31)))*(16/12)*'GWP reference values'!$D$6),IF(Calculator!$E$11='GWP reference values'!$C$7,(((0.334*0.5^((T88+5)/6.31)))*(16/12)*'GWP reference values'!$D$7),IF(Calculator!$E$11='GWP reference values'!$C$8,(((0.334*0.5^((T88+5)/6.31)))*(16/12)*'GWP reference values'!$D$8),"Error")))</f>
        <v>0.19185994111120258</v>
      </c>
    </row>
    <row r="89" spans="20:21" x14ac:dyDescent="0.25">
      <c r="T89" s="44">
        <v>34</v>
      </c>
      <c r="U89" s="78">
        <f>IF(Calculator!$E$11='GWP reference values'!$C$6,(((0.334*0.5^((T89+5)/6.31)))*(16/12)*'GWP reference values'!$D$6),IF(Calculator!$E$11='GWP reference values'!$C$7,(((0.334*0.5^((T89+5)/6.31)))*(16/12)*'GWP reference values'!$D$7),IF(Calculator!$E$11='GWP reference values'!$C$8,(((0.334*0.5^((T89+5)/6.31)))*(16/12)*'GWP reference values'!$D$8),"Error")))</f>
        <v>0.17190063973747524</v>
      </c>
    </row>
    <row r="90" spans="20:21" x14ac:dyDescent="0.25">
      <c r="T90" s="44">
        <v>35</v>
      </c>
      <c r="U90" s="78">
        <f>IF(Calculator!$E$11='GWP reference values'!$C$6,(((0.334*0.5^((T90+5)/6.31)))*(16/12)*'GWP reference values'!$D$6),IF(Calculator!$E$11='GWP reference values'!$C$7,(((0.334*0.5^((T90+5)/6.31)))*(16/12)*'GWP reference values'!$D$7),IF(Calculator!$E$11='GWP reference values'!$C$8,(((0.334*0.5^((T90+5)/6.31)))*(16/12)*'GWP reference values'!$D$8),"Error")))</f>
        <v>0.15401771610586554</v>
      </c>
    </row>
    <row r="91" spans="20:21" x14ac:dyDescent="0.25">
      <c r="T91" s="44">
        <v>36</v>
      </c>
      <c r="U91" s="78">
        <f>IF(Calculator!$E$11='GWP reference values'!$C$6,(((0.334*0.5^((T91+5)/6.31)))*(16/12)*'GWP reference values'!$D$6),IF(Calculator!$E$11='GWP reference values'!$C$7,(((0.334*0.5^((T91+5)/6.31)))*(16/12)*'GWP reference values'!$D$7),IF(Calculator!$E$11='GWP reference values'!$C$8,(((0.334*0.5^((T91+5)/6.31)))*(16/12)*'GWP reference values'!$D$8),"Error")))</f>
        <v>0.1379951634310036</v>
      </c>
    </row>
    <row r="92" spans="20:21" x14ac:dyDescent="0.25">
      <c r="T92" s="44">
        <v>37</v>
      </c>
      <c r="U92" s="78">
        <f>IF(Calculator!$E$11='GWP reference values'!$C$6,(((0.334*0.5^((T92+5)/6.31)))*(16/12)*'GWP reference values'!$D$6),IF(Calculator!$E$11='GWP reference values'!$C$7,(((0.334*0.5^((T92+5)/6.31)))*(16/12)*'GWP reference values'!$D$7),IF(Calculator!$E$11='GWP reference values'!$C$8,(((0.334*0.5^((T92+5)/6.31)))*(16/12)*'GWP reference values'!$D$8),"Error")))</f>
        <v>0.12363944623916027</v>
      </c>
    </row>
    <row r="93" spans="20:21" x14ac:dyDescent="0.25">
      <c r="T93" s="44">
        <v>38</v>
      </c>
      <c r="U93" s="78">
        <f>IF(Calculator!$E$11='GWP reference values'!$C$6,(((0.334*0.5^((T93+5)/6.31)))*(16/12)*'GWP reference values'!$D$6),IF(Calculator!$E$11='GWP reference values'!$C$7,(((0.334*0.5^((T93+5)/6.31)))*(16/12)*'GWP reference values'!$D$7),IF(Calculator!$E$11='GWP reference values'!$C$8,(((0.334*0.5^((T93+5)/6.31)))*(16/12)*'GWP reference values'!$D$8),"Error")))</f>
        <v>0.11077716266461324</v>
      </c>
    </row>
    <row r="94" spans="20:21" x14ac:dyDescent="0.25">
      <c r="T94" s="44">
        <v>39</v>
      </c>
      <c r="U94" s="78">
        <f>IF(Calculator!$E$11='GWP reference values'!$C$6,(((0.334*0.5^((T94+5)/6.31)))*(16/12)*'GWP reference values'!$D$6),IF(Calculator!$E$11='GWP reference values'!$C$7,(((0.334*0.5^((T94+5)/6.31)))*(16/12)*'GWP reference values'!$D$7),IF(Calculator!$E$11='GWP reference values'!$C$8,(((0.334*0.5^((T94+5)/6.31)))*(16/12)*'GWP reference values'!$D$8),"Error")))</f>
        <v>9.9252949938685803E-2</v>
      </c>
    </row>
    <row r="95" spans="20:21" x14ac:dyDescent="0.25">
      <c r="T95" s="44">
        <v>40</v>
      </c>
      <c r="U95" s="78">
        <f>IF(Calculator!$E$11='GWP reference values'!$C$6,(((0.334*0.5^((T95+5)/6.31)))*(16/12)*'GWP reference values'!$D$6),IF(Calculator!$E$11='GWP reference values'!$C$7,(((0.334*0.5^((T95+5)/6.31)))*(16/12)*'GWP reference values'!$D$7),IF(Calculator!$E$11='GWP reference values'!$C$8,(((0.334*0.5^((T95+5)/6.31)))*(16/12)*'GWP reference values'!$D$8),"Error")))</f>
        <v>8.8927607771977335E-2</v>
      </c>
    </row>
    <row r="96" spans="20:21" x14ac:dyDescent="0.25">
      <c r="T96" s="44">
        <v>41</v>
      </c>
      <c r="U96" s="78">
        <f>IF(Calculator!$E$11='GWP reference values'!$C$6,(((0.334*0.5^((T96+5)/6.31)))*(16/12)*'GWP reference values'!$D$6),IF(Calculator!$E$11='GWP reference values'!$C$7,(((0.334*0.5^((T96+5)/6.31)))*(16/12)*'GWP reference values'!$D$7),IF(Calculator!$E$11='GWP reference values'!$C$8,(((0.334*0.5^((T96+5)/6.31)))*(16/12)*'GWP reference values'!$D$8),"Error")))</f>
        <v>7.9676416962235833E-2</v>
      </c>
    </row>
    <row r="97" spans="20:21" x14ac:dyDescent="0.25">
      <c r="T97" s="44">
        <v>42</v>
      </c>
      <c r="U97" s="78">
        <f>IF(Calculator!$E$11='GWP reference values'!$C$6,(((0.334*0.5^((T97+5)/6.31)))*(16/12)*'GWP reference values'!$D$6),IF(Calculator!$E$11='GWP reference values'!$C$7,(((0.334*0.5^((T97+5)/6.31)))*(16/12)*'GWP reference values'!$D$7),IF(Calculator!$E$11='GWP reference values'!$C$8,(((0.334*0.5^((T97+5)/6.31)))*(16/12)*'GWP reference values'!$D$8),"Error")))</f>
        <v>7.1387632918430213E-2</v>
      </c>
    </row>
    <row r="98" spans="20:21" x14ac:dyDescent="0.25">
      <c r="T98" s="44">
        <v>43</v>
      </c>
      <c r="U98" s="78">
        <f>IF(Calculator!$E$11='GWP reference values'!$C$6,(((0.334*0.5^((T98+5)/6.31)))*(16/12)*'GWP reference values'!$D$6),IF(Calculator!$E$11='GWP reference values'!$C$7,(((0.334*0.5^((T98+5)/6.31)))*(16/12)*'GWP reference values'!$D$7),IF(Calculator!$E$11='GWP reference values'!$C$8,(((0.334*0.5^((T98+5)/6.31)))*(16/12)*'GWP reference values'!$D$8),"Error")))</f>
        <v>6.3961135904391675E-2</v>
      </c>
    </row>
    <row r="99" spans="20:21" x14ac:dyDescent="0.25">
      <c r="T99" s="44">
        <v>44</v>
      </c>
      <c r="U99" s="78">
        <f>IF(Calculator!$E$11='GWP reference values'!$C$6,(((0.334*0.5^((T99+5)/6.31)))*(16/12)*'GWP reference values'!$D$6),IF(Calculator!$E$11='GWP reference values'!$C$7,(((0.334*0.5^((T99+5)/6.31)))*(16/12)*'GWP reference values'!$D$7),IF(Calculator!$E$11='GWP reference values'!$C$8,(((0.334*0.5^((T99+5)/6.31)))*(16/12)*'GWP reference values'!$D$8),"Error")))</f>
        <v>5.7307221698394098E-2</v>
      </c>
    </row>
    <row r="100" spans="20:21" x14ac:dyDescent="0.25">
      <c r="T100" s="44">
        <v>45</v>
      </c>
      <c r="U100" s="78">
        <f>IF(Calculator!$E$11='GWP reference values'!$C$6,(((0.334*0.5^((T100+5)/6.31)))*(16/12)*'GWP reference values'!$D$6),IF(Calculator!$E$11='GWP reference values'!$C$7,(((0.334*0.5^((T100+5)/6.31)))*(16/12)*'GWP reference values'!$D$7),IF(Calculator!$E$11='GWP reference values'!$C$8,(((0.334*0.5^((T100+5)/6.31)))*(16/12)*'GWP reference values'!$D$8),"Error")))</f>
        <v>5.1345518061123162E-2</v>
      </c>
    </row>
    <row r="101" spans="20:21" x14ac:dyDescent="0.25">
      <c r="T101" s="44">
        <v>46</v>
      </c>
      <c r="U101" s="78">
        <f>IF(Calculator!$E$11='GWP reference values'!$C$6,(((0.334*0.5^((T101+5)/6.31)))*(16/12)*'GWP reference values'!$D$6),IF(Calculator!$E$11='GWP reference values'!$C$7,(((0.334*0.5^((T101+5)/6.31)))*(16/12)*'GWP reference values'!$D$7),IF(Calculator!$E$11='GWP reference values'!$C$8,(((0.334*0.5^((T101+5)/6.31)))*(16/12)*'GWP reference values'!$D$8),"Error")))</f>
        <v>4.6004013924112463E-2</v>
      </c>
    </row>
    <row r="102" spans="20:21" x14ac:dyDescent="0.25">
      <c r="T102" s="44">
        <v>47</v>
      </c>
      <c r="U102" s="78">
        <f>IF(Calculator!$E$11='GWP reference values'!$C$6,(((0.334*0.5^((T102+5)/6.31)))*(16/12)*'GWP reference values'!$D$6),IF(Calculator!$E$11='GWP reference values'!$C$7,(((0.334*0.5^((T102+5)/6.31)))*(16/12)*'GWP reference values'!$D$7),IF(Calculator!$E$11='GWP reference values'!$C$8,(((0.334*0.5^((T102+5)/6.31)))*(16/12)*'GWP reference values'!$D$8),"Error")))</f>
        <v>4.121818957227287E-2</v>
      </c>
    </row>
    <row r="103" spans="20:21" x14ac:dyDescent="0.25">
      <c r="T103" s="44">
        <v>48</v>
      </c>
      <c r="U103" s="78">
        <f>IF(Calculator!$E$11='GWP reference values'!$C$6,(((0.334*0.5^((T103+5)/6.31)))*(16/12)*'GWP reference values'!$D$6),IF(Calculator!$E$11='GWP reference values'!$C$7,(((0.334*0.5^((T103+5)/6.31)))*(16/12)*'GWP reference values'!$D$7),IF(Calculator!$E$11='GWP reference values'!$C$8,(((0.334*0.5^((T103+5)/6.31)))*(16/12)*'GWP reference values'!$D$8),"Error")))</f>
        <v>3.6930237314038883E-2</v>
      </c>
    </row>
    <row r="104" spans="20:21" x14ac:dyDescent="0.25">
      <c r="T104" s="44">
        <v>49</v>
      </c>
      <c r="U104" s="78">
        <f>IF(Calculator!$E$11='GWP reference values'!$C$6,(((0.334*0.5^((T104+5)/6.31)))*(16/12)*'GWP reference values'!$D$6),IF(Calculator!$E$11='GWP reference values'!$C$7,(((0.334*0.5^((T104+5)/6.31)))*(16/12)*'GWP reference values'!$D$7),IF(Calculator!$E$11='GWP reference values'!$C$8,(((0.334*0.5^((T104+5)/6.31)))*(16/12)*'GWP reference values'!$D$8),"Error")))</f>
        <v>3.3088363225654061E-2</v>
      </c>
    </row>
    <row r="105" spans="20:21" x14ac:dyDescent="0.25">
      <c r="T105" s="44">
        <v>50</v>
      </c>
      <c r="U105" s="78">
        <f>IF(Calculator!$E$11='GWP reference values'!$C$6,(((0.334*0.5^((T105+5)/6.31)))*(16/12)*'GWP reference values'!$D$6),IF(Calculator!$E$11='GWP reference values'!$C$7,(((0.334*0.5^((T105+5)/6.31)))*(16/12)*'GWP reference values'!$D$7),IF(Calculator!$E$11='GWP reference values'!$C$8,(((0.334*0.5^((T105+5)/6.31)))*(16/12)*'GWP reference values'!$D$8),"Error")))</f>
        <v>2.9646161535404374E-2</v>
      </c>
    </row>
    <row r="106" spans="20:21" x14ac:dyDescent="0.25">
      <c r="T106" s="44">
        <v>51</v>
      </c>
      <c r="U106" s="78">
        <f>IF(Calculator!$E$11='GWP reference values'!$C$6,(((0.334*0.5^((T106+5)/6.31)))*(16/12)*'GWP reference values'!$D$6),IF(Calculator!$E$11='GWP reference values'!$C$7,(((0.334*0.5^((T106+5)/6.31)))*(16/12)*'GWP reference values'!$D$7),IF(Calculator!$E$11='GWP reference values'!$C$8,(((0.334*0.5^((T106+5)/6.31)))*(16/12)*'GWP reference values'!$D$8),"Error")))</f>
        <v>2.6562054091024551E-2</v>
      </c>
    </row>
    <row r="107" spans="20:21" x14ac:dyDescent="0.25">
      <c r="T107" s="44">
        <v>52</v>
      </c>
      <c r="U107" s="78">
        <f>IF(Calculator!$E$11='GWP reference values'!$C$6,(((0.334*0.5^((T107+5)/6.31)))*(16/12)*'GWP reference values'!$D$6),IF(Calculator!$E$11='GWP reference values'!$C$7,(((0.334*0.5^((T107+5)/6.31)))*(16/12)*'GWP reference values'!$D$7),IF(Calculator!$E$11='GWP reference values'!$C$8,(((0.334*0.5^((T107+5)/6.31)))*(16/12)*'GWP reference values'!$D$8),"Error")))</f>
        <v>2.3798788139635957E-2</v>
      </c>
    </row>
    <row r="108" spans="20:21" x14ac:dyDescent="0.25">
      <c r="T108" s="44">
        <v>53</v>
      </c>
      <c r="U108" s="78">
        <f>IF(Calculator!$E$11='GWP reference values'!$C$6,(((0.334*0.5^((T108+5)/6.31)))*(16/12)*'GWP reference values'!$D$6),IF(Calculator!$E$11='GWP reference values'!$C$7,(((0.334*0.5^((T108+5)/6.31)))*(16/12)*'GWP reference values'!$D$7),IF(Calculator!$E$11='GWP reference values'!$C$8,(((0.334*0.5^((T108+5)/6.31)))*(16/12)*'GWP reference values'!$D$8),"Error")))</f>
        <v>2.1322986353930401E-2</v>
      </c>
    </row>
    <row r="109" spans="20:21" x14ac:dyDescent="0.25">
      <c r="T109" s="44">
        <v>54</v>
      </c>
      <c r="U109" s="78">
        <f>IF(Calculator!$E$11='GWP reference values'!$C$6,(((0.334*0.5^((T109+5)/6.31)))*(16/12)*'GWP reference values'!$D$6),IF(Calculator!$E$11='GWP reference values'!$C$7,(((0.334*0.5^((T109+5)/6.31)))*(16/12)*'GWP reference values'!$D$7),IF(Calculator!$E$11='GWP reference values'!$C$8,(((0.334*0.5^((T109+5)/6.31)))*(16/12)*'GWP reference values'!$D$8),"Error")))</f>
        <v>1.9104743669391591E-2</v>
      </c>
    </row>
    <row r="110" spans="20:21" x14ac:dyDescent="0.25">
      <c r="T110" s="44">
        <v>55</v>
      </c>
      <c r="U110" s="78">
        <f>IF(Calculator!$E$11='GWP reference values'!$C$6,(((0.334*0.5^((T110+5)/6.31)))*(16/12)*'GWP reference values'!$D$6),IF(Calculator!$E$11='GWP reference values'!$C$7,(((0.334*0.5^((T110+5)/6.31)))*(16/12)*'GWP reference values'!$D$7),IF(Calculator!$E$11='GWP reference values'!$C$8,(((0.334*0.5^((T110+5)/6.31)))*(16/12)*'GWP reference values'!$D$8),"Error")))</f>
        <v>1.711726606277552E-2</v>
      </c>
    </row>
    <row r="111" spans="20:21" x14ac:dyDescent="0.25">
      <c r="T111" s="44">
        <v>56</v>
      </c>
      <c r="U111" s="78">
        <f>IF(Calculator!$E$11='GWP reference values'!$C$6,(((0.334*0.5^((T111+5)/6.31)))*(16/12)*'GWP reference values'!$D$6),IF(Calculator!$E$11='GWP reference values'!$C$7,(((0.334*0.5^((T111+5)/6.31)))*(16/12)*'GWP reference values'!$D$7),IF(Calculator!$E$11='GWP reference values'!$C$8,(((0.334*0.5^((T111+5)/6.31)))*(16/12)*'GWP reference values'!$D$8),"Error")))</f>
        <v>1.5336546908675541E-2</v>
      </c>
    </row>
    <row r="112" spans="20:21" x14ac:dyDescent="0.25">
      <c r="T112" s="44">
        <v>57</v>
      </c>
      <c r="U112" s="78">
        <f>IF(Calculator!$E$11='GWP reference values'!$C$6,(((0.334*0.5^((T112+5)/6.31)))*(16/12)*'GWP reference values'!$D$6),IF(Calculator!$E$11='GWP reference values'!$C$7,(((0.334*0.5^((T112+5)/6.31)))*(16/12)*'GWP reference values'!$D$7),IF(Calculator!$E$11='GWP reference values'!$C$8,(((0.334*0.5^((T112+5)/6.31)))*(16/12)*'GWP reference values'!$D$8),"Error")))</f>
        <v>1.3741077004902645E-2</v>
      </c>
    </row>
    <row r="113" spans="20:21" x14ac:dyDescent="0.25">
      <c r="T113" s="44">
        <v>58</v>
      </c>
      <c r="U113" s="78">
        <f>IF(Calculator!$E$11='GWP reference values'!$C$6,(((0.334*0.5^((T113+5)/6.31)))*(16/12)*'GWP reference values'!$D$6),IF(Calculator!$E$11='GWP reference values'!$C$7,(((0.334*0.5^((T113+5)/6.31)))*(16/12)*'GWP reference values'!$D$7),IF(Calculator!$E$11='GWP reference values'!$C$8,(((0.334*0.5^((T113+5)/6.31)))*(16/12)*'GWP reference values'!$D$8),"Error")))</f>
        <v>1.2311584764094134E-2</v>
      </c>
    </row>
    <row r="114" spans="20:21" x14ac:dyDescent="0.25">
      <c r="T114" s="44">
        <v>59</v>
      </c>
      <c r="U114" s="78">
        <f>IF(Calculator!$E$11='GWP reference values'!$C$6,(((0.334*0.5^((T114+5)/6.31)))*(16/12)*'GWP reference values'!$D$6),IF(Calculator!$E$11='GWP reference values'!$C$7,(((0.334*0.5^((T114+5)/6.31)))*(16/12)*'GWP reference values'!$D$7),IF(Calculator!$E$11='GWP reference values'!$C$8,(((0.334*0.5^((T114+5)/6.31)))*(16/12)*'GWP reference values'!$D$8),"Error")))</f>
        <v>1.1030803433340359E-2</v>
      </c>
    </row>
    <row r="115" spans="20:21" x14ac:dyDescent="0.25">
      <c r="T115" s="44">
        <v>60</v>
      </c>
      <c r="U115" s="78">
        <f>IF(Calculator!$E$11='GWP reference values'!$C$6,(((0.334*0.5^((T115+5)/6.31)))*(16/12)*'GWP reference values'!$D$6),IF(Calculator!$E$11='GWP reference values'!$C$7,(((0.334*0.5^((T115+5)/6.31)))*(16/12)*'GWP reference values'!$D$7),IF(Calculator!$E$11='GWP reference values'!$C$8,(((0.334*0.5^((T115+5)/6.31)))*(16/12)*'GWP reference values'!$D$8),"Error")))</f>
        <v>9.8832625300896218E-3</v>
      </c>
    </row>
    <row r="116" spans="20:21" x14ac:dyDescent="0.25">
      <c r="T116" s="44">
        <v>61</v>
      </c>
      <c r="U116" s="78">
        <f>IF(Calculator!$E$11='GWP reference values'!$C$6,(((0.334*0.5^((T116+5)/6.31)))*(16/12)*'GWP reference values'!$D$6),IF(Calculator!$E$11='GWP reference values'!$C$7,(((0.334*0.5^((T116+5)/6.31)))*(16/12)*'GWP reference values'!$D$7),IF(Calculator!$E$11='GWP reference values'!$C$8,(((0.334*0.5^((T116+5)/6.31)))*(16/12)*'GWP reference values'!$D$8),"Error")))</f>
        <v>8.8551009750967875E-3</v>
      </c>
    </row>
    <row r="117" spans="20:21" x14ac:dyDescent="0.25">
      <c r="T117" s="44">
        <v>62</v>
      </c>
      <c r="U117" s="78">
        <f>IF(Calculator!$E$11='GWP reference values'!$C$6,(((0.334*0.5^((T117+5)/6.31)))*(16/12)*'GWP reference values'!$D$6),IF(Calculator!$E$11='GWP reference values'!$C$7,(((0.334*0.5^((T117+5)/6.31)))*(16/12)*'GWP reference values'!$D$7),IF(Calculator!$E$11='GWP reference values'!$C$8,(((0.334*0.5^((T117+5)/6.31)))*(16/12)*'GWP reference values'!$D$8),"Error")))</f>
        <v>7.9338996652605596E-3</v>
      </c>
    </row>
    <row r="118" spans="20:21" x14ac:dyDescent="0.25">
      <c r="T118" s="44">
        <v>63</v>
      </c>
      <c r="U118" s="78">
        <f>IF(Calculator!$E$11='GWP reference values'!$C$6,(((0.334*0.5^((T118+5)/6.31)))*(16/12)*'GWP reference values'!$D$6),IF(Calculator!$E$11='GWP reference values'!$C$7,(((0.334*0.5^((T118+5)/6.31)))*(16/12)*'GWP reference values'!$D$7),IF(Calculator!$E$11='GWP reference values'!$C$8,(((0.334*0.5^((T118+5)/6.31)))*(16/12)*'GWP reference values'!$D$8),"Error")))</f>
        <v>7.108531464005521E-3</v>
      </c>
    </row>
    <row r="119" spans="20:21" x14ac:dyDescent="0.25">
      <c r="T119" s="44">
        <v>64</v>
      </c>
      <c r="U119" s="78">
        <f>IF(Calculator!$E$11='GWP reference values'!$C$6,(((0.334*0.5^((T119+5)/6.31)))*(16/12)*'GWP reference values'!$D$6),IF(Calculator!$E$11='GWP reference values'!$C$7,(((0.334*0.5^((T119+5)/6.31)))*(16/12)*'GWP reference values'!$D$7),IF(Calculator!$E$11='GWP reference values'!$C$8,(((0.334*0.5^((T119+5)/6.31)))*(16/12)*'GWP reference values'!$D$8),"Error")))</f>
        <v>6.3690267972524323E-3</v>
      </c>
    </row>
    <row r="120" spans="20:21" x14ac:dyDescent="0.25">
      <c r="T120" s="44">
        <v>65</v>
      </c>
      <c r="U120" s="78">
        <f>IF(Calculator!$E$11='GWP reference values'!$C$6,(((0.334*0.5^((T120+5)/6.31)))*(16/12)*'GWP reference values'!$D$6),IF(Calculator!$E$11='GWP reference values'!$C$7,(((0.334*0.5^((T120+5)/6.31)))*(16/12)*'GWP reference values'!$D$7),IF(Calculator!$E$11='GWP reference values'!$C$8,(((0.334*0.5^((T120+5)/6.31)))*(16/12)*'GWP reference values'!$D$8),"Error")))</f>
        <v>5.7064532315176872E-3</v>
      </c>
    </row>
    <row r="121" spans="20:21" x14ac:dyDescent="0.25">
      <c r="T121" s="44">
        <v>66</v>
      </c>
      <c r="U121" s="78">
        <f>IF(Calculator!$E$11='GWP reference values'!$C$6,(((0.334*0.5^((T121+5)/6.31)))*(16/12)*'GWP reference values'!$D$6),IF(Calculator!$E$11='GWP reference values'!$C$7,(((0.334*0.5^((T121+5)/6.31)))*(16/12)*'GWP reference values'!$D$7),IF(Calculator!$E$11='GWP reference values'!$C$8,(((0.334*0.5^((T121+5)/6.31)))*(16/12)*'GWP reference values'!$D$8),"Error")))</f>
        <v>5.1128075795734583E-3</v>
      </c>
    </row>
    <row r="122" spans="20:21" x14ac:dyDescent="0.25">
      <c r="T122" s="44">
        <v>67</v>
      </c>
      <c r="U122" s="78">
        <f>IF(Calculator!$E$11='GWP reference values'!$C$6,(((0.334*0.5^((T122+5)/6.31)))*(16/12)*'GWP reference values'!$D$6),IF(Calculator!$E$11='GWP reference values'!$C$7,(((0.334*0.5^((T122+5)/6.31)))*(16/12)*'GWP reference values'!$D$7),IF(Calculator!$E$11='GWP reference values'!$C$8,(((0.334*0.5^((T122+5)/6.31)))*(16/12)*'GWP reference values'!$D$8),"Error")))</f>
        <v>4.5809192304186088E-3</v>
      </c>
    </row>
    <row r="123" spans="20:21" x14ac:dyDescent="0.25">
      <c r="T123" s="44">
        <v>68</v>
      </c>
      <c r="U123" s="78">
        <f>IF(Calculator!$E$11='GWP reference values'!$C$6,(((0.334*0.5^((T123+5)/6.31)))*(16/12)*'GWP reference values'!$D$6),IF(Calculator!$E$11='GWP reference values'!$C$7,(((0.334*0.5^((T123+5)/6.31)))*(16/12)*'GWP reference values'!$D$7),IF(Calculator!$E$11='GWP reference values'!$C$8,(((0.334*0.5^((T123+5)/6.31)))*(16/12)*'GWP reference values'!$D$8),"Error")))</f>
        <v>4.1043635358891618E-3</v>
      </c>
    </row>
    <row r="124" spans="20:21" x14ac:dyDescent="0.25">
      <c r="T124" s="44">
        <v>69</v>
      </c>
      <c r="U124" s="78">
        <f>IF(Calculator!$E$11='GWP reference values'!$C$6,(((0.334*0.5^((T124+5)/6.31)))*(16/12)*'GWP reference values'!$D$6),IF(Calculator!$E$11='GWP reference values'!$C$7,(((0.334*0.5^((T124+5)/6.31)))*(16/12)*'GWP reference values'!$D$7),IF(Calculator!$E$11='GWP reference values'!$C$8,(((0.334*0.5^((T124+5)/6.31)))*(16/12)*'GWP reference values'!$D$8),"Error")))</f>
        <v>3.6773842077100338E-3</v>
      </c>
    </row>
    <row r="125" spans="20:21" x14ac:dyDescent="0.25">
      <c r="T125" s="44">
        <v>70</v>
      </c>
      <c r="U125" s="78">
        <f>IF(Calculator!$E$11='GWP reference values'!$C$6,(((0.334*0.5^((T125+5)/6.31)))*(16/12)*'GWP reference values'!$D$6),IF(Calculator!$E$11='GWP reference values'!$C$7,(((0.334*0.5^((T125+5)/6.31)))*(16/12)*'GWP reference values'!$D$7),IF(Calculator!$E$11='GWP reference values'!$C$8,(((0.334*0.5^((T125+5)/6.31)))*(16/12)*'GWP reference values'!$D$8),"Error")))</f>
        <v>3.294823787626678E-3</v>
      </c>
    </row>
    <row r="126" spans="20:21" x14ac:dyDescent="0.25">
      <c r="T126" s="44">
        <v>71</v>
      </c>
      <c r="U126" s="78">
        <f>IF(Calculator!$E$11='GWP reference values'!$C$6,(((0.334*0.5^((T126+5)/6.31)))*(16/12)*'GWP reference values'!$D$6),IF(Calculator!$E$11='GWP reference values'!$C$7,(((0.334*0.5^((T126+5)/6.31)))*(16/12)*'GWP reference values'!$D$7),IF(Calculator!$E$11='GWP reference values'!$C$8,(((0.334*0.5^((T126+5)/6.31)))*(16/12)*'GWP reference values'!$D$8),"Error")))</f>
        <v>2.952061350769418E-3</v>
      </c>
    </row>
    <row r="127" spans="20:21" x14ac:dyDescent="0.25">
      <c r="T127" s="44">
        <v>72</v>
      </c>
      <c r="U127" s="78">
        <f>IF(Calculator!$E$11='GWP reference values'!$C$6,(((0.334*0.5^((T127+5)/6.31)))*(16/12)*'GWP reference values'!$D$6),IF(Calculator!$E$11='GWP reference values'!$C$7,(((0.334*0.5^((T127+5)/6.31)))*(16/12)*'GWP reference values'!$D$7),IF(Calculator!$E$11='GWP reference values'!$C$8,(((0.334*0.5^((T127+5)/6.31)))*(16/12)*'GWP reference values'!$D$8),"Error")))</f>
        <v>2.6449566897730455E-3</v>
      </c>
    </row>
    <row r="128" spans="20:21" x14ac:dyDescent="0.25">
      <c r="T128" s="44">
        <v>73</v>
      </c>
      <c r="U128" s="78">
        <f>IF(Calculator!$E$11='GWP reference values'!$C$6,(((0.334*0.5^((T128+5)/6.31)))*(16/12)*'GWP reference values'!$D$6),IF(Calculator!$E$11='GWP reference values'!$C$7,(((0.334*0.5^((T128+5)/6.31)))*(16/12)*'GWP reference values'!$D$7),IF(Calculator!$E$11='GWP reference values'!$C$8,(((0.334*0.5^((T128+5)/6.31)))*(16/12)*'GWP reference values'!$D$8),"Error")))</f>
        <v>2.3698003054549764E-3</v>
      </c>
    </row>
    <row r="129" spans="20:21" x14ac:dyDescent="0.25">
      <c r="T129" s="44">
        <v>74</v>
      </c>
      <c r="U129" s="78">
        <f>IF(Calculator!$E$11='GWP reference values'!$C$6,(((0.334*0.5^((T129+5)/6.31)))*(16/12)*'GWP reference values'!$D$6),IF(Calculator!$E$11='GWP reference values'!$C$7,(((0.334*0.5^((T129+5)/6.31)))*(16/12)*'GWP reference values'!$D$7),IF(Calculator!$E$11='GWP reference values'!$C$8,(((0.334*0.5^((T129+5)/6.31)))*(16/12)*'GWP reference values'!$D$8),"Error")))</f>
        <v>2.1232685999922314E-3</v>
      </c>
    </row>
    <row r="130" spans="20:21" x14ac:dyDescent="0.25">
      <c r="T130" s="44">
        <v>75</v>
      </c>
      <c r="U130" s="78">
        <f>IF(Calculator!$E$11='GWP reference values'!$C$6,(((0.334*0.5^((T130+5)/6.31)))*(16/12)*'GWP reference values'!$D$6),IF(Calculator!$E$11='GWP reference values'!$C$7,(((0.334*0.5^((T130+5)/6.31)))*(16/12)*'GWP reference values'!$D$7),IF(Calculator!$E$11='GWP reference values'!$C$8,(((0.334*0.5^((T130+5)/6.31)))*(16/12)*'GWP reference values'!$D$8),"Error")))</f>
        <v>1.902383731378341E-3</v>
      </c>
    </row>
    <row r="131" spans="20:21" x14ac:dyDescent="0.25">
      <c r="T131" s="44">
        <v>76</v>
      </c>
      <c r="U131" s="78">
        <f>IF(Calculator!$E$11='GWP reference values'!$C$6,(((0.334*0.5^((T131+5)/6.31)))*(16/12)*'GWP reference values'!$D$6),IF(Calculator!$E$11='GWP reference values'!$C$7,(((0.334*0.5^((T131+5)/6.31)))*(16/12)*'GWP reference values'!$D$7),IF(Calculator!$E$11='GWP reference values'!$C$8,(((0.334*0.5^((T131+5)/6.31)))*(16/12)*'GWP reference values'!$D$8),"Error")))</f>
        <v>1.7044776442444512E-3</v>
      </c>
    </row>
    <row r="132" spans="20:21" x14ac:dyDescent="0.25">
      <c r="T132" s="44">
        <v>77</v>
      </c>
      <c r="U132" s="78">
        <f>IF(Calculator!$E$11='GWP reference values'!$C$6,(((0.334*0.5^((T132+5)/6.31)))*(16/12)*'GWP reference values'!$D$6),IF(Calculator!$E$11='GWP reference values'!$C$7,(((0.334*0.5^((T132+5)/6.31)))*(16/12)*'GWP reference values'!$D$7),IF(Calculator!$E$11='GWP reference values'!$C$8,(((0.334*0.5^((T132+5)/6.31)))*(16/12)*'GWP reference values'!$D$8),"Error")))</f>
        <v>1.5271598425750695E-3</v>
      </c>
    </row>
    <row r="133" spans="20:21" x14ac:dyDescent="0.25">
      <c r="T133" s="44">
        <v>78</v>
      </c>
      <c r="U133" s="78">
        <f>IF(Calculator!$E$11='GWP reference values'!$C$6,(((0.334*0.5^((T133+5)/6.31)))*(16/12)*'GWP reference values'!$D$6),IF(Calculator!$E$11='GWP reference values'!$C$7,(((0.334*0.5^((T133+5)/6.31)))*(16/12)*'GWP reference values'!$D$7),IF(Calculator!$E$11='GWP reference values'!$C$8,(((0.334*0.5^((T133+5)/6.31)))*(16/12)*'GWP reference values'!$D$8),"Error")))</f>
        <v>1.3682885150469184E-3</v>
      </c>
    </row>
    <row r="134" spans="20:21" x14ac:dyDescent="0.25">
      <c r="T134" s="44">
        <v>79</v>
      </c>
      <c r="U134" s="78">
        <f>IF(Calculator!$E$11='GWP reference values'!$C$6,(((0.334*0.5^((T134+5)/6.31)))*(16/12)*'GWP reference values'!$D$6),IF(Calculator!$E$11='GWP reference values'!$C$7,(((0.334*0.5^((T134+5)/6.31)))*(16/12)*'GWP reference values'!$D$7),IF(Calculator!$E$11='GWP reference values'!$C$8,(((0.334*0.5^((T134+5)/6.31)))*(16/12)*'GWP reference values'!$D$8),"Error")))</f>
        <v>1.2259446642156389E-3</v>
      </c>
    </row>
    <row r="135" spans="20:21" x14ac:dyDescent="0.25">
      <c r="T135" s="44">
        <v>80</v>
      </c>
      <c r="U135" s="78">
        <f>IF(Calculator!$E$11='GWP reference values'!$C$6,(((0.334*0.5^((T135+5)/6.31)))*(16/12)*'GWP reference values'!$D$6),IF(Calculator!$E$11='GWP reference values'!$C$7,(((0.334*0.5^((T135+5)/6.31)))*(16/12)*'GWP reference values'!$D$7),IF(Calculator!$E$11='GWP reference values'!$C$8,(((0.334*0.5^((T135+5)/6.31)))*(16/12)*'GWP reference values'!$D$8),"Error")))</f>
        <v>1.0984089270582363E-3</v>
      </c>
    </row>
    <row r="136" spans="20:21" x14ac:dyDescent="0.25">
      <c r="T136" s="44">
        <v>81</v>
      </c>
      <c r="U136" s="78">
        <f>IF(Calculator!$E$11='GWP reference values'!$C$6,(((0.334*0.5^((T136+5)/6.31)))*(16/12)*'GWP reference values'!$D$6),IF(Calculator!$E$11='GWP reference values'!$C$7,(((0.334*0.5^((T136+5)/6.31)))*(16/12)*'GWP reference values'!$D$7),IF(Calculator!$E$11='GWP reference values'!$C$8,(((0.334*0.5^((T136+5)/6.31)))*(16/12)*'GWP reference values'!$D$8),"Error")))</f>
        <v>9.8414080688800703E-4</v>
      </c>
    </row>
    <row r="137" spans="20:21" x14ac:dyDescent="0.25">
      <c r="T137" s="44">
        <v>82</v>
      </c>
      <c r="U137" s="78">
        <f>IF(Calculator!$E$11='GWP reference values'!$C$6,(((0.334*0.5^((T137+5)/6.31)))*(16/12)*'GWP reference values'!$D$6),IF(Calculator!$E$11='GWP reference values'!$C$7,(((0.334*0.5^((T137+5)/6.31)))*(16/12)*'GWP reference values'!$D$7),IF(Calculator!$E$11='GWP reference values'!$C$8,(((0.334*0.5^((T137+5)/6.31)))*(16/12)*'GWP reference values'!$D$8),"Error")))</f>
        <v>8.8176006578543481E-4</v>
      </c>
    </row>
    <row r="138" spans="20:21" x14ac:dyDescent="0.25">
      <c r="T138" s="44">
        <v>83</v>
      </c>
      <c r="U138" s="78">
        <f>IF(Calculator!$E$11='GWP reference values'!$C$6,(((0.334*0.5^((T138+5)/6.31)))*(16/12)*'GWP reference values'!$D$6),IF(Calculator!$E$11='GWP reference values'!$C$7,(((0.334*0.5^((T138+5)/6.31)))*(16/12)*'GWP reference values'!$D$7),IF(Calculator!$E$11='GWP reference values'!$C$8,(((0.334*0.5^((T138+5)/6.31)))*(16/12)*'GWP reference values'!$D$8),"Error")))</f>
        <v>7.9003005278533496E-4</v>
      </c>
    </row>
    <row r="139" spans="20:21" x14ac:dyDescent="0.25">
      <c r="T139" s="44">
        <v>84</v>
      </c>
      <c r="U139" s="78">
        <f>IF(Calculator!$E$11='GWP reference values'!$C$6,(((0.334*0.5^((T139+5)/6.31)))*(16/12)*'GWP reference values'!$D$6),IF(Calculator!$E$11='GWP reference values'!$C$7,(((0.334*0.5^((T139+5)/6.31)))*(16/12)*'GWP reference values'!$D$7),IF(Calculator!$E$11='GWP reference values'!$C$8,(((0.334*0.5^((T139+5)/6.31)))*(16/12)*'GWP reference values'!$D$8),"Error")))</f>
        <v>7.0784276644240485E-4</v>
      </c>
    </row>
    <row r="140" spans="20:21" x14ac:dyDescent="0.25">
      <c r="T140" s="44">
        <v>85</v>
      </c>
      <c r="U140" s="78">
        <f>IF(Calculator!$E$11='GWP reference values'!$C$6,(((0.334*0.5^((T140+5)/6.31)))*(16/12)*'GWP reference values'!$D$6),IF(Calculator!$E$11='GWP reference values'!$C$7,(((0.334*0.5^((T140+5)/6.31)))*(16/12)*'GWP reference values'!$D$7),IF(Calculator!$E$11='GWP reference values'!$C$8,(((0.334*0.5^((T140+5)/6.31)))*(16/12)*'GWP reference values'!$D$8),"Error")))</f>
        <v>6.342054713467689E-4</v>
      </c>
    </row>
    <row r="141" spans="20:21" x14ac:dyDescent="0.25">
      <c r="T141" s="44">
        <v>86</v>
      </c>
      <c r="U141" s="78">
        <f>IF(Calculator!$E$11='GWP reference values'!$C$6,(((0.334*0.5^((T141+5)/6.31)))*(16/12)*'GWP reference values'!$D$6),IF(Calculator!$E$11='GWP reference values'!$C$7,(((0.334*0.5^((T141+5)/6.31)))*(16/12)*'GWP reference values'!$D$7),IF(Calculator!$E$11='GWP reference values'!$C$8,(((0.334*0.5^((T141+5)/6.31)))*(16/12)*'GWP reference values'!$D$8),"Error")))</f>
        <v>5.682287069312098E-4</v>
      </c>
    </row>
    <row r="142" spans="20:21" x14ac:dyDescent="0.25">
      <c r="T142" s="44">
        <v>87</v>
      </c>
      <c r="U142" s="78">
        <f>IF(Calculator!$E$11='GWP reference values'!$C$6,(((0.334*0.5^((T142+5)/6.31)))*(16/12)*'GWP reference values'!$D$6),IF(Calculator!$E$11='GWP reference values'!$C$7,(((0.334*0.5^((T142+5)/6.31)))*(16/12)*'GWP reference values'!$D$7),IF(Calculator!$E$11='GWP reference values'!$C$8,(((0.334*0.5^((T142+5)/6.31)))*(16/12)*'GWP reference values'!$D$8),"Error")))</f>
        <v>5.0911554372915391E-4</v>
      </c>
    </row>
    <row r="143" spans="20:21" x14ac:dyDescent="0.25">
      <c r="T143" s="44">
        <v>88</v>
      </c>
      <c r="U143" s="78">
        <f>IF(Calculator!$E$11='GWP reference values'!$C$6,(((0.334*0.5^((T143+5)/6.31)))*(16/12)*'GWP reference values'!$D$6),IF(Calculator!$E$11='GWP reference values'!$C$7,(((0.334*0.5^((T143+5)/6.31)))*(16/12)*'GWP reference values'!$D$7),IF(Calculator!$E$11='GWP reference values'!$C$8,(((0.334*0.5^((T143+5)/6.31)))*(16/12)*'GWP reference values'!$D$8),"Error")))</f>
        <v>4.561519573104055E-4</v>
      </c>
    </row>
    <row r="144" spans="20:21" x14ac:dyDescent="0.25">
      <c r="T144" s="44">
        <v>89</v>
      </c>
      <c r="U144" s="78">
        <f>IF(Calculator!$E$11='GWP reference values'!$C$6,(((0.334*0.5^((T144+5)/6.31)))*(16/12)*'GWP reference values'!$D$6),IF(Calculator!$E$11='GWP reference values'!$C$7,(((0.334*0.5^((T144+5)/6.31)))*(16/12)*'GWP reference values'!$D$7),IF(Calculator!$E$11='GWP reference values'!$C$8,(((0.334*0.5^((T144+5)/6.31)))*(16/12)*'GWP reference values'!$D$8),"Error")))</f>
        <v>4.0869820362194237E-4</v>
      </c>
    </row>
    <row r="145" spans="20:21" x14ac:dyDescent="0.25">
      <c r="T145" s="44">
        <v>90</v>
      </c>
      <c r="U145" s="78">
        <f>IF(Calculator!$E$11='GWP reference values'!$C$6,(((0.334*0.5^((T145+5)/6.31)))*(16/12)*'GWP reference values'!$D$6),IF(Calculator!$E$11='GWP reference values'!$C$7,(((0.334*0.5^((T145+5)/6.31)))*(16/12)*'GWP reference values'!$D$7),IF(Calculator!$E$11='GWP reference values'!$C$8,(((0.334*0.5^((T145+5)/6.31)))*(16/12)*'GWP reference values'!$D$8),"Error")))</f>
        <v>3.661810915570364E-4</v>
      </c>
    </row>
    <row r="146" spans="20:21" x14ac:dyDescent="0.25">
      <c r="T146" s="44">
        <v>91</v>
      </c>
      <c r="U146" s="78">
        <f>IF(Calculator!$E$11='GWP reference values'!$C$6,(((0.334*0.5^((T146+5)/6.31)))*(16/12)*'GWP reference values'!$D$6),IF(Calculator!$E$11='GWP reference values'!$C$7,(((0.334*0.5^((T146+5)/6.31)))*(16/12)*'GWP reference values'!$D$7),IF(Calculator!$E$11='GWP reference values'!$C$8,(((0.334*0.5^((T146+5)/6.31)))*(16/12)*'GWP reference values'!$D$8),"Error")))</f>
        <v>3.2808705941349926E-4</v>
      </c>
    </row>
    <row r="147" spans="20:21" x14ac:dyDescent="0.25">
      <c r="T147" s="44">
        <v>92</v>
      </c>
      <c r="U147" s="78">
        <f>IF(Calculator!$E$11='GWP reference values'!$C$6,(((0.334*0.5^((T147+5)/6.31)))*(16/12)*'GWP reference values'!$D$6),IF(Calculator!$E$11='GWP reference values'!$C$7,(((0.334*0.5^((T147+5)/6.31)))*(16/12)*'GWP reference values'!$D$7),IF(Calculator!$E$11='GWP reference values'!$C$8,(((0.334*0.5^((T147+5)/6.31)))*(16/12)*'GWP reference values'!$D$8),"Error")))</f>
        <v>2.9395597161201539E-4</v>
      </c>
    </row>
    <row r="148" spans="20:21" x14ac:dyDescent="0.25">
      <c r="T148" s="44">
        <v>93</v>
      </c>
      <c r="U148" s="78">
        <f>IF(Calculator!$E$11='GWP reference values'!$C$6,(((0.334*0.5^((T148+5)/6.31)))*(16/12)*'GWP reference values'!$D$6),IF(Calculator!$E$11='GWP reference values'!$C$7,(((0.334*0.5^((T148+5)/6.31)))*(16/12)*'GWP reference values'!$D$7),IF(Calculator!$E$11='GWP reference values'!$C$8,(((0.334*0.5^((T148+5)/6.31)))*(16/12)*'GWP reference values'!$D$8),"Error")))</f>
        <v>2.6337556074547359E-4</v>
      </c>
    </row>
    <row r="149" spans="20:21" x14ac:dyDescent="0.25">
      <c r="T149" s="44">
        <v>94</v>
      </c>
      <c r="U149" s="78">
        <f>IF(Calculator!$E$11='GWP reference values'!$C$6,(((0.334*0.5^((T149+5)/6.31)))*(16/12)*'GWP reference values'!$D$6),IF(Calculator!$E$11='GWP reference values'!$C$7,(((0.334*0.5^((T149+5)/6.31)))*(16/12)*'GWP reference values'!$D$7),IF(Calculator!$E$11='GWP reference values'!$C$8,(((0.334*0.5^((T149+5)/6.31)))*(16/12)*'GWP reference values'!$D$8),"Error")))</f>
        <v>2.3597644782514566E-4</v>
      </c>
    </row>
    <row r="150" spans="20:21" x14ac:dyDescent="0.25">
      <c r="T150" s="44">
        <v>95</v>
      </c>
      <c r="U150" s="78">
        <f>IF(Calculator!$E$11='GWP reference values'!$C$6,(((0.334*0.5^((T150+5)/6.31)))*(16/12)*'GWP reference values'!$D$6),IF(Calculator!$E$11='GWP reference values'!$C$7,(((0.334*0.5^((T150+5)/6.31)))*(16/12)*'GWP reference values'!$D$7),IF(Calculator!$E$11='GWP reference values'!$C$8,(((0.334*0.5^((T150+5)/6.31)))*(16/12)*'GWP reference values'!$D$8),"Error")))</f>
        <v>2.1142768057355038E-4</v>
      </c>
    </row>
    <row r="151" spans="20:21" x14ac:dyDescent="0.25">
      <c r="T151" s="44">
        <v>96</v>
      </c>
      <c r="U151" s="78">
        <f>IF(Calculator!$E$11='GWP reference values'!$C$6,(((0.334*0.5^((T151+5)/6.31)))*(16/12)*'GWP reference values'!$D$6),IF(Calculator!$E$11='GWP reference values'!$C$7,(((0.334*0.5^((T151+5)/6.31)))*(16/12)*'GWP reference values'!$D$7),IF(Calculator!$E$11='GWP reference values'!$C$8,(((0.334*0.5^((T151+5)/6.31)))*(16/12)*'GWP reference values'!$D$8),"Error")))</f>
        <v>1.8943273587131198E-4</v>
      </c>
    </row>
    <row r="152" spans="20:21" x14ac:dyDescent="0.25">
      <c r="T152" s="44">
        <v>97</v>
      </c>
      <c r="U152" s="78">
        <f>IF(Calculator!$E$11='GWP reference values'!$C$6,(((0.334*0.5^((T152+5)/6.31)))*(16/12)*'GWP reference values'!$D$6),IF(Calculator!$E$11='GWP reference values'!$C$7,(((0.334*0.5^((T152+5)/6.31)))*(16/12)*'GWP reference values'!$D$7),IF(Calculator!$E$11='GWP reference values'!$C$8,(((0.334*0.5^((T152+5)/6.31)))*(16/12)*'GWP reference values'!$D$8),"Error")))</f>
        <v>1.6972593807179745E-4</v>
      </c>
    </row>
    <row r="153" spans="20:21" x14ac:dyDescent="0.25">
      <c r="T153" s="44">
        <v>98</v>
      </c>
      <c r="U153" s="78">
        <f>IF(Calculator!$E$11='GWP reference values'!$C$6,(((0.334*0.5^((T153+5)/6.31)))*(16/12)*'GWP reference values'!$D$6),IF(Calculator!$E$11='GWP reference values'!$C$7,(((0.334*0.5^((T153+5)/6.31)))*(16/12)*'GWP reference values'!$D$7),IF(Calculator!$E$11='GWP reference values'!$C$8,(((0.334*0.5^((T153+5)/6.31)))*(16/12)*'GWP reference values'!$D$8),"Error")))</f>
        <v>1.5206924992056898E-4</v>
      </c>
    </row>
    <row r="154" spans="20:21" x14ac:dyDescent="0.25">
      <c r="T154" s="44">
        <v>99</v>
      </c>
      <c r="U154" s="78">
        <f>IF(Calculator!$E$11='GWP reference values'!$C$6,(((0.334*0.5^((T154+5)/6.31)))*(16/12)*'GWP reference values'!$D$6),IF(Calculator!$E$11='GWP reference values'!$C$7,(((0.334*0.5^((T154+5)/6.31)))*(16/12)*'GWP reference values'!$D$7),IF(Calculator!$E$11='GWP reference values'!$C$8,(((0.334*0.5^((T154+5)/6.31)))*(16/12)*'GWP reference values'!$D$8),"Error")))</f>
        <v>1.3624939731735116E-4</v>
      </c>
    </row>
    <row r="155" spans="20:21" ht="15.75" thickBot="1" x14ac:dyDescent="0.3">
      <c r="T155" s="49">
        <v>100</v>
      </c>
      <c r="U155" s="80">
        <f>IF(Calculator!$E$11='GWP reference values'!$C$6,(((0.334*0.5^((T155+5)/6.31)))*(16/12)*'GWP reference values'!$D$6),IF(Calculator!$E$11='GWP reference values'!$C$7,(((0.334*0.5^((T155+5)/6.31)))*(16/12)*'GWP reference values'!$D$7),IF(Calculator!$E$11='GWP reference values'!$C$8,(((0.334*0.5^((T155+5)/6.31)))*(16/12)*'GWP reference values'!$D$8),"Error")))</f>
        <v>1.2207529319068766E-4</v>
      </c>
    </row>
  </sheetData>
  <mergeCells count="13">
    <mergeCell ref="C19:C20"/>
    <mergeCell ref="D19:L19"/>
    <mergeCell ref="T48:U48"/>
    <mergeCell ref="C31:C32"/>
    <mergeCell ref="D31:L31"/>
    <mergeCell ref="M19:M20"/>
    <mergeCell ref="M31:M32"/>
    <mergeCell ref="C2:D2"/>
    <mergeCell ref="F2:Q2"/>
    <mergeCell ref="D6:D7"/>
    <mergeCell ref="C6:C7"/>
    <mergeCell ref="G6:G7"/>
    <mergeCell ref="C5:G5"/>
  </mergeCells>
  <conditionalFormatting sqref="D8:D13">
    <cfRule type="cellIs" dxfId="7" priority="6" operator="lessThan">
      <formula>0</formula>
    </cfRule>
    <cfRule type="cellIs" dxfId="6" priority="7" operator="greaterThan">
      <formula>0</formula>
    </cfRule>
    <cfRule type="cellIs" dxfId="5" priority="8" operator="equal">
      <formula>0</formula>
    </cfRule>
  </conditionalFormatting>
  <conditionalFormatting sqref="D33:M38">
    <cfRule type="containsBlanks" dxfId="4" priority="2">
      <formula>LEN(TRIM(D33))=0</formula>
    </cfRule>
    <cfRule type="cellIs" dxfId="3" priority="3" operator="lessThan">
      <formula>0</formula>
    </cfRule>
    <cfRule type="cellIs" dxfId="2" priority="4" operator="greaterThan">
      <formula>0</formula>
    </cfRule>
    <cfRule type="cellIs" dxfId="1" priority="9" operator="equal">
      <formula>0</formula>
    </cfRule>
  </conditionalFormatting>
  <conditionalFormatting sqref="E8:E13">
    <cfRule type="cellIs" dxfId="0" priority="5" operator="lessThan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J28"/>
  <sheetViews>
    <sheetView workbookViewId="0">
      <selection activeCell="F8" sqref="F8"/>
    </sheetView>
  </sheetViews>
  <sheetFormatPr defaultRowHeight="15" x14ac:dyDescent="0.25"/>
  <cols>
    <col min="2" max="2" width="7.28515625" customWidth="1"/>
    <col min="3" max="3" width="8.5703125" customWidth="1"/>
    <col min="5" max="5" width="12.140625" customWidth="1"/>
    <col min="6" max="6" width="12.85546875" customWidth="1"/>
    <col min="7" max="7" width="13.42578125" customWidth="1"/>
    <col min="8" max="9" width="13.28515625" bestFit="1" customWidth="1"/>
  </cols>
  <sheetData>
    <row r="3" spans="2:10" ht="15.75" x14ac:dyDescent="0.25">
      <c r="B3" s="13" t="s">
        <v>243</v>
      </c>
      <c r="C3" s="1"/>
      <c r="D3" s="1"/>
      <c r="E3" s="1"/>
    </row>
    <row r="5" spans="2:10" x14ac:dyDescent="0.25">
      <c r="B5" s="93"/>
      <c r="C5" s="19" t="s">
        <v>244</v>
      </c>
      <c r="D5" s="19" t="s">
        <v>245</v>
      </c>
      <c r="E5" s="19"/>
      <c r="F5" s="19" t="s">
        <v>246</v>
      </c>
      <c r="G5" s="93"/>
      <c r="H5" s="5"/>
      <c r="I5" s="6" t="s">
        <v>247</v>
      </c>
      <c r="J5" s="6" t="s">
        <v>244</v>
      </c>
    </row>
    <row r="6" spans="2:10" x14ac:dyDescent="0.25">
      <c r="B6" s="28"/>
      <c r="C6" s="28" t="s">
        <v>165</v>
      </c>
      <c r="D6" s="28" t="s">
        <v>164</v>
      </c>
      <c r="E6" s="28" t="s">
        <v>193</v>
      </c>
      <c r="F6" s="28" t="s">
        <v>164</v>
      </c>
      <c r="G6" s="28" t="s">
        <v>166</v>
      </c>
      <c r="H6" s="4" t="s">
        <v>69</v>
      </c>
      <c r="I6" s="4" t="s">
        <v>69</v>
      </c>
      <c r="J6" s="4" t="s">
        <v>165</v>
      </c>
    </row>
    <row r="7" spans="2:10" x14ac:dyDescent="0.25">
      <c r="B7" s="94" t="s">
        <v>248</v>
      </c>
      <c r="C7" s="35">
        <f>'EF Adjustment Table'!$D$8</f>
        <v>5.7013083858721449</v>
      </c>
      <c r="D7" s="35">
        <f>0.1341*C7-1.73</f>
        <v>-0.96545454545454534</v>
      </c>
      <c r="E7" s="35">
        <f>D7/12*44</f>
        <v>-3.5399999999999996</v>
      </c>
      <c r="F7" s="95">
        <f>(0.334*0.5^((C7+5)/6.31))*'EF Adjustment Table'!I$8</f>
        <v>8.4802500000000003E-2</v>
      </c>
      <c r="G7" s="36">
        <f>F7*1000*16/12</f>
        <v>113.07000000000001</v>
      </c>
      <c r="H7" s="74">
        <f>IF(Calculator!$E$11='GWP reference values'!$C$6,G7*'GWP reference values'!$D$6/1000,IF(Calculator!$E$11='GWP reference values'!$C$7,G7*'GWP reference values'!$D$7/1000,IF(Calculator!$E$11='GWP reference values'!$C$8,G7*'GWP reference values'!$D$8/1000,"Error")))</f>
        <v>3.1659600000000001</v>
      </c>
      <c r="I7" s="74">
        <f>SUM(H7,E7)</f>
        <v>-0.37403999999999948</v>
      </c>
      <c r="J7" s="75">
        <f>C7</f>
        <v>5.7013083858721449</v>
      </c>
    </row>
    <row r="8" spans="2:10" x14ac:dyDescent="0.25">
      <c r="B8" s="96" t="s">
        <v>249</v>
      </c>
      <c r="C8" s="33">
        <v>-5</v>
      </c>
      <c r="D8" s="33">
        <f t="shared" ref="D8" si="0">0.1341*C8-1.73</f>
        <v>-2.4005000000000001</v>
      </c>
      <c r="E8" s="33">
        <f t="shared" ref="E8" si="1">D8/12*44</f>
        <v>-8.8018333333333345</v>
      </c>
      <c r="F8" s="97">
        <f>(0.334*0.5^((C8+5)/6.31))*'EF Adjustment Table'!I$8</f>
        <v>0.27474764789775269</v>
      </c>
      <c r="G8" s="34">
        <f>F8*1000*16/12</f>
        <v>366.3301971970036</v>
      </c>
      <c r="H8" s="2">
        <f>IF(Calculator!$E$11='GWP reference values'!$C$6,G8*'GWP reference values'!$D$6/1000,IF(Calculator!$E$11='GWP reference values'!$C$7,G8*'GWP reference values'!$D$7/1000,IF(Calculator!$E$11='GWP reference values'!$C$8,G8*'GWP reference values'!$D$8/1000,"Error")))</f>
        <v>10.257245521516101</v>
      </c>
      <c r="I8" s="2">
        <f>SUM(H8,E8)</f>
        <v>1.4554121881827662</v>
      </c>
      <c r="J8" s="3">
        <f>C8</f>
        <v>-5</v>
      </c>
    </row>
    <row r="9" spans="2:10" x14ac:dyDescent="0.25">
      <c r="B9" s="23"/>
      <c r="C9" s="33">
        <v>-4</v>
      </c>
      <c r="D9" s="33">
        <f t="shared" ref="D9:D18" si="2">0.1341*C9-1.73</f>
        <v>-2.2664</v>
      </c>
      <c r="E9" s="33">
        <f t="shared" ref="E9:E18" si="3">D9/12*44</f>
        <v>-8.3101333333333329</v>
      </c>
      <c r="F9" s="97">
        <f>(0.334*0.5^((C9+5)/6.31))*'EF Adjustment Table'!I$8</f>
        <v>0.24616549013019898</v>
      </c>
      <c r="G9" s="34">
        <f t="shared" ref="G9:G18" si="4">F9*1000*16/12</f>
        <v>328.22065350693197</v>
      </c>
      <c r="H9" s="2">
        <f>IF(Calculator!$E$11='GWP reference values'!$C$6,G9*'GWP reference values'!$D$6/1000,IF(Calculator!$E$11='GWP reference values'!$C$7,G9*'GWP reference values'!$D$7/1000,IF(Calculator!$E$11='GWP reference values'!$C$8,G9*'GWP reference values'!$D$8/1000,"Error")))</f>
        <v>9.1901782981940965</v>
      </c>
      <c r="I9" s="2">
        <f t="shared" ref="I9:I26" si="5">SUM(H9,E9)</f>
        <v>0.88004496486076356</v>
      </c>
      <c r="J9" s="3">
        <f t="shared" ref="J9:J26" si="6">C9</f>
        <v>-4</v>
      </c>
    </row>
    <row r="10" spans="2:10" x14ac:dyDescent="0.25">
      <c r="B10" s="23"/>
      <c r="C10" s="33">
        <v>-3</v>
      </c>
      <c r="D10" s="33">
        <f t="shared" si="2"/>
        <v>-2.1322999999999999</v>
      </c>
      <c r="E10" s="33">
        <f t="shared" si="3"/>
        <v>-7.8184333333333331</v>
      </c>
      <c r="F10" s="97">
        <f>(0.334*0.5^((C10+5)/6.31))*'EF Adjustment Table'!I$8</f>
        <v>0.22055675087559781</v>
      </c>
      <c r="G10" s="34">
        <f t="shared" si="4"/>
        <v>294.0756678341304</v>
      </c>
      <c r="H10" s="2">
        <f>IF(Calculator!$E$11='GWP reference values'!$C$6,G10*'GWP reference values'!$D$6/1000,IF(Calculator!$E$11='GWP reference values'!$C$7,G10*'GWP reference values'!$D$7/1000,IF(Calculator!$E$11='GWP reference values'!$C$8,G10*'GWP reference values'!$D$8/1000,"Error")))</f>
        <v>8.2341186993556512</v>
      </c>
      <c r="I10" s="2">
        <f t="shared" si="5"/>
        <v>0.41568536602231809</v>
      </c>
      <c r="J10" s="3">
        <f t="shared" si="6"/>
        <v>-3</v>
      </c>
    </row>
    <row r="11" spans="2:10" x14ac:dyDescent="0.25">
      <c r="B11" s="23"/>
      <c r="C11" s="33">
        <v>-2</v>
      </c>
      <c r="D11" s="33">
        <f t="shared" si="2"/>
        <v>-1.9982</v>
      </c>
      <c r="E11" s="33">
        <f t="shared" si="3"/>
        <v>-7.3267333333333333</v>
      </c>
      <c r="F11" s="97">
        <f>(0.334*0.5^((C11+5)/6.31))*'EF Adjustment Table'!I$8</f>
        <v>0.19761210367493676</v>
      </c>
      <c r="G11" s="34">
        <f t="shared" si="4"/>
        <v>263.48280489991566</v>
      </c>
      <c r="H11" s="2">
        <f>IF(Calculator!$E$11='GWP reference values'!$C$6,G11*'GWP reference values'!$D$6/1000,IF(Calculator!$E$11='GWP reference values'!$C$7,G11*'GWP reference values'!$D$7/1000,IF(Calculator!$E$11='GWP reference values'!$C$8,G11*'GWP reference values'!$D$8/1000,"Error")))</f>
        <v>7.3775185371976386</v>
      </c>
      <c r="I11" s="2">
        <f t="shared" si="5"/>
        <v>5.0785203864305295E-2</v>
      </c>
      <c r="J11" s="3">
        <f t="shared" si="6"/>
        <v>-2</v>
      </c>
    </row>
    <row r="12" spans="2:10" x14ac:dyDescent="0.25">
      <c r="B12" s="23"/>
      <c r="C12" s="33">
        <v>-1</v>
      </c>
      <c r="D12" s="33">
        <f t="shared" si="2"/>
        <v>-1.8641000000000001</v>
      </c>
      <c r="E12" s="33">
        <f t="shared" si="3"/>
        <v>-6.8350333333333344</v>
      </c>
      <c r="F12" s="97">
        <f>(0.334*0.5^((C12+5)/6.31))*'EF Adjustment Table'!I$8</f>
        <v>0.17705440148082302</v>
      </c>
      <c r="G12" s="34">
        <f t="shared" si="4"/>
        <v>236.07253530776404</v>
      </c>
      <c r="H12" s="2">
        <f>IF(Calculator!$E$11='GWP reference values'!$C$6,G12*'GWP reference values'!$D$6/1000,IF(Calculator!$E$11='GWP reference values'!$C$7,G12*'GWP reference values'!$D$7/1000,IF(Calculator!$E$11='GWP reference values'!$C$8,G12*'GWP reference values'!$D$8/1000,"Error")))</f>
        <v>6.6100309886173925</v>
      </c>
      <c r="I12" s="2">
        <f t="shared" si="5"/>
        <v>-0.22500234471594194</v>
      </c>
      <c r="J12" s="3">
        <f t="shared" si="6"/>
        <v>-1</v>
      </c>
    </row>
    <row r="13" spans="2:10" x14ac:dyDescent="0.25">
      <c r="B13" s="23"/>
      <c r="C13" s="33">
        <v>0</v>
      </c>
      <c r="D13" s="33">
        <f t="shared" si="2"/>
        <v>-1.73</v>
      </c>
      <c r="E13" s="33">
        <f t="shared" si="3"/>
        <v>-6.3433333333333337</v>
      </c>
      <c r="F13" s="97">
        <f>(0.334*0.5^((C13+5)/6.31))*'EF Adjustment Table'!I$8</f>
        <v>0.15863532901455762</v>
      </c>
      <c r="G13" s="34">
        <f t="shared" si="4"/>
        <v>211.51377201941014</v>
      </c>
      <c r="H13" s="2">
        <f>IF(Calculator!$E$11='GWP reference values'!$C$6,G13*'GWP reference values'!$D$6/1000,IF(Calculator!$E$11='GWP reference values'!$C$7,G13*'GWP reference values'!$D$7/1000,IF(Calculator!$E$11='GWP reference values'!$C$8,G13*'GWP reference values'!$D$8/1000,"Error")))</f>
        <v>5.9223856165434832</v>
      </c>
      <c r="I13" s="2">
        <f t="shared" si="5"/>
        <v>-0.42094771678985055</v>
      </c>
      <c r="J13" s="3">
        <f t="shared" si="6"/>
        <v>0</v>
      </c>
    </row>
    <row r="14" spans="2:10" x14ac:dyDescent="0.25">
      <c r="B14" s="23"/>
      <c r="C14" s="33">
        <v>1</v>
      </c>
      <c r="D14" s="33">
        <f t="shared" si="2"/>
        <v>-1.5958999999999999</v>
      </c>
      <c r="E14" s="33">
        <f t="shared" si="3"/>
        <v>-5.8516333333333321</v>
      </c>
      <c r="F14" s="97">
        <f>(0.334*0.5^((C14+5)/6.31))*'EF Adjustment Table'!I$8</f>
        <v>0.1421324033804526</v>
      </c>
      <c r="G14" s="34">
        <f t="shared" si="4"/>
        <v>189.50987117393683</v>
      </c>
      <c r="H14" s="2">
        <f>IF(Calculator!$E$11='GWP reference values'!$C$6,G14*'GWP reference values'!$D$6/1000,IF(Calculator!$E$11='GWP reference values'!$C$7,G14*'GWP reference values'!$D$7/1000,IF(Calculator!$E$11='GWP reference values'!$C$8,G14*'GWP reference values'!$D$8/1000,"Error")))</f>
        <v>5.3062763928702319</v>
      </c>
      <c r="I14" s="2">
        <f t="shared" si="5"/>
        <v>-0.54535694046310024</v>
      </c>
      <c r="J14" s="3">
        <f t="shared" si="6"/>
        <v>1</v>
      </c>
    </row>
    <row r="15" spans="2:10" x14ac:dyDescent="0.25">
      <c r="B15" s="23"/>
      <c r="C15" s="33">
        <v>2</v>
      </c>
      <c r="D15" s="33">
        <f t="shared" si="2"/>
        <v>-1.4618</v>
      </c>
      <c r="E15" s="33">
        <f t="shared" si="3"/>
        <v>-5.3599333333333332</v>
      </c>
      <c r="F15" s="97">
        <f>(0.334*0.5^((C15+5)/6.31))*'EF Adjustment Table'!I$8</f>
        <v>0.12734628670798701</v>
      </c>
      <c r="G15" s="34">
        <f t="shared" si="4"/>
        <v>169.79504894398266</v>
      </c>
      <c r="H15" s="2">
        <f>IF(Calculator!$E$11='GWP reference values'!$C$6,G15*'GWP reference values'!$D$6/1000,IF(Calculator!$E$11='GWP reference values'!$C$7,G15*'GWP reference values'!$D$7/1000,IF(Calculator!$E$11='GWP reference values'!$C$8,G15*'GWP reference values'!$D$8/1000,"Error")))</f>
        <v>4.7542613704315144</v>
      </c>
      <c r="I15" s="2">
        <f t="shared" si="5"/>
        <v>-0.60567196290181879</v>
      </c>
      <c r="J15" s="3">
        <f t="shared" si="6"/>
        <v>2</v>
      </c>
    </row>
    <row r="16" spans="2:10" x14ac:dyDescent="0.25">
      <c r="B16" s="23"/>
      <c r="C16" s="33">
        <v>3</v>
      </c>
      <c r="D16" s="33">
        <f t="shared" si="2"/>
        <v>-1.3277000000000001</v>
      </c>
      <c r="E16" s="33">
        <f t="shared" si="3"/>
        <v>-4.8682333333333343</v>
      </c>
      <c r="F16" s="97">
        <f>(0.334*0.5^((C16+5)/6.31))*'EF Adjustment Table'!I$8</f>
        <v>0.11409837836136348</v>
      </c>
      <c r="G16" s="34">
        <f t="shared" si="4"/>
        <v>152.13117114848464</v>
      </c>
      <c r="H16" s="2">
        <f>IF(Calculator!$E$11='GWP reference values'!$C$6,G16*'GWP reference values'!$D$6/1000,IF(Calculator!$E$11='GWP reference values'!$C$7,G16*'GWP reference values'!$D$7/1000,IF(Calculator!$E$11='GWP reference values'!$C$8,G16*'GWP reference values'!$D$8/1000,"Error")))</f>
        <v>4.2596727921575699</v>
      </c>
      <c r="I16" s="2">
        <f t="shared" si="5"/>
        <v>-0.60856054117576441</v>
      </c>
      <c r="J16" s="3">
        <f t="shared" si="6"/>
        <v>3</v>
      </c>
    </row>
    <row r="17" spans="2:10" x14ac:dyDescent="0.25">
      <c r="B17" s="23"/>
      <c r="C17" s="33">
        <v>4</v>
      </c>
      <c r="D17" s="33">
        <f t="shared" si="2"/>
        <v>-1.1936</v>
      </c>
      <c r="E17" s="33">
        <f t="shared" si="3"/>
        <v>-4.3765333333333327</v>
      </c>
      <c r="F17" s="97">
        <f>(0.334*0.5^((C17+5)/6.31))*'EF Adjustment Table'!I$8</f>
        <v>0.10222865763290734</v>
      </c>
      <c r="G17" s="34">
        <f t="shared" si="4"/>
        <v>136.30487684387646</v>
      </c>
      <c r="H17" s="2">
        <f>IF(Calculator!$E$11='GWP reference values'!$C$6,G17*'GWP reference values'!$D$6/1000,IF(Calculator!$E$11='GWP reference values'!$C$7,G17*'GWP reference values'!$D$7/1000,IF(Calculator!$E$11='GWP reference values'!$C$8,G17*'GWP reference values'!$D$8/1000,"Error")))</f>
        <v>3.8165365516285412</v>
      </c>
      <c r="I17" s="2">
        <f t="shared" si="5"/>
        <v>-0.5599967817047915</v>
      </c>
      <c r="J17" s="3">
        <f t="shared" si="6"/>
        <v>4</v>
      </c>
    </row>
    <row r="18" spans="2:10" x14ac:dyDescent="0.25">
      <c r="B18" s="23"/>
      <c r="C18" s="33">
        <v>5</v>
      </c>
      <c r="D18" s="33">
        <f t="shared" si="2"/>
        <v>-1.0594999999999999</v>
      </c>
      <c r="E18" s="33">
        <f t="shared" si="3"/>
        <v>-3.8848333333333329</v>
      </c>
      <c r="F18" s="97">
        <f>(0.334*0.5^((C18+5)/6.31))*'EF Adjustment Table'!I$8</f>
        <v>9.1593750862326448E-2</v>
      </c>
      <c r="G18" s="34">
        <f t="shared" si="4"/>
        <v>122.12500114976859</v>
      </c>
      <c r="H18" s="2">
        <f>IF(Calculator!$E$11='GWP reference values'!$C$6,G18*'GWP reference values'!$D$6/1000,IF(Calculator!$E$11='GWP reference values'!$C$7,G18*'GWP reference values'!$D$7/1000,IF(Calculator!$E$11='GWP reference values'!$C$8,G18*'GWP reference values'!$D$8/1000,"Error")))</f>
        <v>3.4195000321935205</v>
      </c>
      <c r="I18" s="2">
        <f t="shared" si="5"/>
        <v>-0.46533330113981242</v>
      </c>
      <c r="J18" s="3">
        <f t="shared" si="6"/>
        <v>5</v>
      </c>
    </row>
    <row r="19" spans="2:10" x14ac:dyDescent="0.25">
      <c r="B19" s="23"/>
      <c r="C19" s="33">
        <v>6</v>
      </c>
      <c r="D19" s="33">
        <f t="shared" ref="D19" si="7">0.1341*C19-1.73</f>
        <v>-0.9254</v>
      </c>
      <c r="E19" s="33">
        <f t="shared" ref="E19" si="8">D19/12*44</f>
        <v>-3.3931333333333331</v>
      </c>
      <c r="F19" s="97">
        <f>(0.334*0.5^((C19+5)/6.31))*'EF Adjustment Table'!I$8</f>
        <v>8.20651996346803E-2</v>
      </c>
      <c r="G19" s="34">
        <f>F19*1000*16/12</f>
        <v>109.42026617957373</v>
      </c>
      <c r="H19" s="2">
        <f>IF(Calculator!$E$11='GWP reference values'!$C$6,G19*'GWP reference values'!$D$6/1000,IF(Calculator!$E$11='GWP reference values'!$C$7,G19*'GWP reference values'!$D$7/1000,IF(Calculator!$E$11='GWP reference values'!$C$8,G19*'GWP reference values'!$D$8/1000,"Error")))</f>
        <v>3.0637674530280647</v>
      </c>
      <c r="I19" s="2">
        <f t="shared" si="5"/>
        <v>-0.32936588030526837</v>
      </c>
      <c r="J19" s="3">
        <f t="shared" si="6"/>
        <v>6</v>
      </c>
    </row>
    <row r="20" spans="2:10" x14ac:dyDescent="0.25">
      <c r="B20" s="23"/>
      <c r="C20" s="33">
        <v>7</v>
      </c>
      <c r="D20" s="33">
        <f t="shared" ref="D20:D26" si="9">0.1341*C20-1.73</f>
        <v>-0.7913</v>
      </c>
      <c r="E20" s="33">
        <f t="shared" ref="E20:E26" si="10">D20/12*44</f>
        <v>-2.9014333333333333</v>
      </c>
      <c r="F20" s="97">
        <f>(0.334*0.5^((C20+5)/6.31))*'EF Adjustment Table'!I$8</f>
        <v>7.3527909138722564E-2</v>
      </c>
      <c r="G20" s="34">
        <f t="shared" ref="G20:G26" si="11">F20*1000*16/12</f>
        <v>98.037212184963423</v>
      </c>
      <c r="H20" s="2">
        <f>IF(Calculator!$E$11='GWP reference values'!$C$6,G20*'GWP reference values'!$D$6/1000,IF(Calculator!$E$11='GWP reference values'!$C$7,G20*'GWP reference values'!$D$7/1000,IF(Calculator!$E$11='GWP reference values'!$C$8,G20*'GWP reference values'!$D$8/1000,"Error")))</f>
        <v>2.7450419411789757</v>
      </c>
      <c r="I20" s="2">
        <f t="shared" si="5"/>
        <v>-0.1563913921543576</v>
      </c>
      <c r="J20" s="3">
        <f t="shared" si="6"/>
        <v>7</v>
      </c>
    </row>
    <row r="21" spans="2:10" x14ac:dyDescent="0.25">
      <c r="B21" s="23"/>
      <c r="C21" s="33">
        <v>8</v>
      </c>
      <c r="D21" s="33">
        <f t="shared" si="9"/>
        <v>-0.65720000000000001</v>
      </c>
      <c r="E21" s="33">
        <f t="shared" si="10"/>
        <v>-2.4097333333333331</v>
      </c>
      <c r="F21" s="97">
        <f>(0.334*0.5^((C21+5)/6.31))*'EF Adjustment Table'!I$8</f>
        <v>6.587875794342854E-2</v>
      </c>
      <c r="G21" s="34">
        <f t="shared" si="11"/>
        <v>87.83834392457139</v>
      </c>
      <c r="H21" s="2">
        <f>IF(Calculator!$E$11='GWP reference values'!$C$6,G21*'GWP reference values'!$D$6/1000,IF(Calculator!$E$11='GWP reference values'!$C$7,G21*'GWP reference values'!$D$7/1000,IF(Calculator!$E$11='GWP reference values'!$C$8,G21*'GWP reference values'!$D$8/1000,"Error")))</f>
        <v>2.4594736298879987</v>
      </c>
      <c r="I21" s="2">
        <f t="shared" si="5"/>
        <v>4.9740296554665608E-2</v>
      </c>
      <c r="J21" s="3">
        <f t="shared" si="6"/>
        <v>8</v>
      </c>
    </row>
    <row r="22" spans="2:10" x14ac:dyDescent="0.25">
      <c r="B22" s="23"/>
      <c r="C22" s="33">
        <v>9</v>
      </c>
      <c r="D22" s="33">
        <f t="shared" si="9"/>
        <v>-0.5230999999999999</v>
      </c>
      <c r="E22" s="33">
        <f t="shared" si="10"/>
        <v>-1.918033333333333</v>
      </c>
      <c r="F22" s="97">
        <f>(0.334*0.5^((C22+5)/6.31))*'EF Adjustment Table'!I$8</f>
        <v>5.9025352400279729E-2</v>
      </c>
      <c r="G22" s="34">
        <f t="shared" si="11"/>
        <v>78.700469867039644</v>
      </c>
      <c r="H22" s="2">
        <f>IF(Calculator!$E$11='GWP reference values'!$C$6,G22*'GWP reference values'!$D$6/1000,IF(Calculator!$E$11='GWP reference values'!$C$7,G22*'GWP reference values'!$D$7/1000,IF(Calculator!$E$11='GWP reference values'!$C$8,G22*'GWP reference values'!$D$8/1000,"Error")))</f>
        <v>2.2036131562771102</v>
      </c>
      <c r="I22" s="2">
        <f t="shared" si="5"/>
        <v>0.28557982294377715</v>
      </c>
      <c r="J22" s="3">
        <f t="shared" si="6"/>
        <v>9</v>
      </c>
    </row>
    <row r="23" spans="2:10" x14ac:dyDescent="0.25">
      <c r="B23" s="23"/>
      <c r="C23" s="33">
        <v>10</v>
      </c>
      <c r="D23" s="33">
        <f t="shared" si="9"/>
        <v>-0.38900000000000001</v>
      </c>
      <c r="E23" s="33">
        <f t="shared" si="10"/>
        <v>-1.4263333333333335</v>
      </c>
      <c r="F23" s="97">
        <f>(0.334*0.5^((C23+5)/6.31))*'EF Adjustment Table'!I$8</f>
        <v>5.2884910625804214E-2</v>
      </c>
      <c r="G23" s="34">
        <f t="shared" si="11"/>
        <v>70.513214167738951</v>
      </c>
      <c r="H23" s="2">
        <f>IF(Calculator!$E$11='GWP reference values'!$C$6,G23*'GWP reference values'!$D$6/1000,IF(Calculator!$E$11='GWP reference values'!$C$7,G23*'GWP reference values'!$D$7/1000,IF(Calculator!$E$11='GWP reference values'!$C$8,G23*'GWP reference values'!$D$8/1000,"Error")))</f>
        <v>1.9743699966966906</v>
      </c>
      <c r="I23" s="2">
        <f t="shared" si="5"/>
        <v>0.5480366633633571</v>
      </c>
      <c r="J23" s="3">
        <f t="shared" si="6"/>
        <v>10</v>
      </c>
    </row>
    <row r="24" spans="2:10" x14ac:dyDescent="0.25">
      <c r="B24" s="23"/>
      <c r="C24" s="33">
        <v>11</v>
      </c>
      <c r="D24" s="33">
        <f t="shared" si="9"/>
        <v>-0.25490000000000013</v>
      </c>
      <c r="E24" s="33">
        <f t="shared" si="10"/>
        <v>-0.93463333333333376</v>
      </c>
      <c r="F24" s="97">
        <f>(0.334*0.5^((C24+5)/6.31))*'EF Adjustment Table'!I$8</f>
        <v>4.7383262584062849E-2</v>
      </c>
      <c r="G24" s="34">
        <f t="shared" si="11"/>
        <v>63.177683445417131</v>
      </c>
      <c r="H24" s="2">
        <f>IF(Calculator!$E$11='GWP reference values'!$C$6,G24*'GWP reference values'!$D$6/1000,IF(Calculator!$E$11='GWP reference values'!$C$7,G24*'GWP reference values'!$D$7/1000,IF(Calculator!$E$11='GWP reference values'!$C$8,G24*'GWP reference values'!$D$8/1000,"Error")))</f>
        <v>1.7689751364716797</v>
      </c>
      <c r="I24" s="2">
        <f t="shared" si="5"/>
        <v>0.83434180313834594</v>
      </c>
      <c r="J24" s="3">
        <f t="shared" si="6"/>
        <v>11</v>
      </c>
    </row>
    <row r="25" spans="2:10" x14ac:dyDescent="0.25">
      <c r="B25" s="23"/>
      <c r="C25" s="33">
        <v>12</v>
      </c>
      <c r="D25" s="33">
        <f t="shared" si="9"/>
        <v>-0.12080000000000002</v>
      </c>
      <c r="E25" s="33">
        <f t="shared" si="10"/>
        <v>-0.4429333333333334</v>
      </c>
      <c r="F25" s="97">
        <f>(0.334*0.5^((C25+5)/6.31))*'EF Adjustment Table'!I$8</f>
        <v>4.2453954191136713E-2</v>
      </c>
      <c r="G25" s="34">
        <f t="shared" si="11"/>
        <v>56.605272254848948</v>
      </c>
      <c r="H25" s="2">
        <f>IF(Calculator!$E$11='GWP reference values'!$C$6,G25*'GWP reference values'!$D$6/1000,IF(Calculator!$E$11='GWP reference values'!$C$7,G25*'GWP reference values'!$D$7/1000,IF(Calculator!$E$11='GWP reference values'!$C$8,G25*'GWP reference values'!$D$8/1000,"Error")))</f>
        <v>1.5849476231357704</v>
      </c>
      <c r="I25" s="2">
        <f t="shared" si="5"/>
        <v>1.142014289802437</v>
      </c>
      <c r="J25" s="3">
        <f t="shared" si="6"/>
        <v>12</v>
      </c>
    </row>
    <row r="26" spans="2:10" x14ac:dyDescent="0.25">
      <c r="B26" s="28"/>
      <c r="C26" s="37">
        <v>13</v>
      </c>
      <c r="D26" s="37">
        <f t="shared" si="9"/>
        <v>1.330000000000009E-2</v>
      </c>
      <c r="E26" s="37">
        <f t="shared" si="10"/>
        <v>4.8766666666666993E-2</v>
      </c>
      <c r="F26" s="98">
        <f>(0.334*0.5^((C26+5)/6.31))*'EF Adjustment Table'!I$8</f>
        <v>3.803744462014616E-2</v>
      </c>
      <c r="G26" s="38">
        <f t="shared" si="11"/>
        <v>50.71659282686155</v>
      </c>
      <c r="H26" s="15">
        <f>IF(Calculator!$E$11='GWP reference values'!$C$6,G26*'GWP reference values'!$D$6/1000,IF(Calculator!$E$11='GWP reference values'!$C$7,G26*'GWP reference values'!$D$7/1000,IF(Calculator!$E$11='GWP reference values'!$C$8,G26*'GWP reference values'!$D$8/1000,"Error")))</f>
        <v>1.4200645991521235</v>
      </c>
      <c r="I26" s="15">
        <f t="shared" si="5"/>
        <v>1.4688312658187905</v>
      </c>
      <c r="J26" s="14">
        <f t="shared" si="6"/>
        <v>13</v>
      </c>
    </row>
    <row r="28" spans="2:10" x14ac:dyDescent="0.25">
      <c r="B28" t="s">
        <v>250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J28"/>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251</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Table'!$D$9</f>
        <v>2.6099925428784498</v>
      </c>
      <c r="D7" s="10">
        <f>0.1341*C7-1.73</f>
        <v>-1.38</v>
      </c>
      <c r="E7" s="10">
        <f>D7/12*44</f>
        <v>-5.0599999999999996</v>
      </c>
      <c r="F7" s="11">
        <f>(0.334*0.5^((C7+5)/6.31))*'EF Adjustment Table'!I$9</f>
        <v>0.10743749999999999</v>
      </c>
      <c r="G7" s="12">
        <f>F7*1000*16/12</f>
        <v>143.24999999999997</v>
      </c>
      <c r="H7" s="74">
        <f>IF(Calculator!$E$11='GWP reference values'!$C$6,G7*'GWP reference values'!$D$6/1000,IF(Calculator!$E$11='GWP reference values'!$C$7,G7*'GWP reference values'!$D$7/1000,IF(Calculator!$E$11='GWP reference values'!$C$8,G7*'GWP reference values'!$D$8/1000,"Error")))</f>
        <v>4.0109999999999992</v>
      </c>
      <c r="I7" s="74">
        <f>SUM(H7,E7)</f>
        <v>-1.0490000000000004</v>
      </c>
      <c r="J7" s="75">
        <f>C7</f>
        <v>2.6099925428784498</v>
      </c>
    </row>
    <row r="8" spans="2:10" x14ac:dyDescent="0.25">
      <c r="B8" s="1" t="s">
        <v>249</v>
      </c>
      <c r="C8" s="3">
        <v>-5</v>
      </c>
      <c r="D8" s="3">
        <f t="shared" ref="D8:D26" si="0">0.1341*C8-1.73</f>
        <v>-2.4005000000000001</v>
      </c>
      <c r="E8" s="3">
        <f t="shared" ref="E8" si="1">D8/12*44</f>
        <v>-8.8018333333333345</v>
      </c>
      <c r="F8" s="2">
        <f>(0.334*0.5^((C8+5)/6.31))*'EF Adjustment Table'!I$9</f>
        <v>0.24785882811178978</v>
      </c>
      <c r="G8" s="8">
        <f>F8*1000*16/12</f>
        <v>330.47843748238637</v>
      </c>
      <c r="H8" s="66">
        <f>IF(Calculator!$E$11='GWP reference values'!$C$6,G8*'GWP reference values'!$D$6/1000,IF(Calculator!$E$11='GWP reference values'!$C$7,G8*'GWP reference values'!$D$7/1000,IF(Calculator!$E$11='GWP reference values'!$C$8,G8*'GWP reference values'!$D$8/1000,"Error")))</f>
        <v>9.2533962495068192</v>
      </c>
      <c r="I8" s="66">
        <f>SUM(H8,E8)</f>
        <v>0.45156291617348465</v>
      </c>
      <c r="J8" s="67">
        <f>C8</f>
        <v>-5</v>
      </c>
    </row>
    <row r="9" spans="2:10" x14ac:dyDescent="0.25">
      <c r="C9" s="3">
        <v>-4</v>
      </c>
      <c r="D9" s="3">
        <f t="shared" ref="D9:D11" si="2">0.1341*C9-1.73</f>
        <v>-2.2664</v>
      </c>
      <c r="E9" s="3">
        <f t="shared" ref="E9:E11" si="3">D9/12*44</f>
        <v>-8.3101333333333329</v>
      </c>
      <c r="F9" s="2">
        <f>(0.334*0.5^((C9+5)/6.31))*'EF Adjustment Table'!I$9</f>
        <v>0.2220739299211105</v>
      </c>
      <c r="G9" s="8">
        <f t="shared" ref="G9:G18" si="4">F9*1000*16/12</f>
        <v>296.09857322814736</v>
      </c>
      <c r="H9" s="2">
        <f>IF(Calculator!$E$11='GWP reference values'!$C$6,G9*'GWP reference values'!$D$6/1000,IF(Calculator!$E$11='GWP reference values'!$C$7,G9*'GWP reference values'!$D$7/1000,IF(Calculator!$E$11='GWP reference values'!$C$8,G9*'GWP reference values'!$D$8/1000,"Error")))</f>
        <v>8.2907600503881262</v>
      </c>
      <c r="I9" s="2">
        <f t="shared" ref="I9:I11" si="5">SUM(H9,E9)</f>
        <v>-1.9373282945206682E-2</v>
      </c>
      <c r="J9" s="3">
        <f t="shared" ref="J9:J11" si="6">C9</f>
        <v>-4</v>
      </c>
    </row>
    <row r="10" spans="2:10" x14ac:dyDescent="0.25">
      <c r="C10" s="3">
        <v>-3</v>
      </c>
      <c r="D10" s="3">
        <f t="shared" si="2"/>
        <v>-2.1322999999999999</v>
      </c>
      <c r="E10" s="3">
        <f t="shared" si="3"/>
        <v>-7.8184333333333331</v>
      </c>
      <c r="F10" s="2">
        <f>(0.334*0.5^((C10+5)/6.31))*'EF Adjustment Table'!I$9</f>
        <v>0.19897144970105052</v>
      </c>
      <c r="G10" s="8">
        <f t="shared" si="4"/>
        <v>265.29526626806734</v>
      </c>
      <c r="H10" s="2">
        <f>IF(Calculator!$E$11='GWP reference values'!$C$6,G10*'GWP reference values'!$D$6/1000,IF(Calculator!$E$11='GWP reference values'!$C$7,G10*'GWP reference values'!$D$7/1000,IF(Calculator!$E$11='GWP reference values'!$C$8,G10*'GWP reference values'!$D$8/1000,"Error")))</f>
        <v>7.4282674555058854</v>
      </c>
      <c r="I10" s="2">
        <f t="shared" si="5"/>
        <v>-0.39016587782744772</v>
      </c>
      <c r="J10" s="3">
        <f t="shared" si="6"/>
        <v>-3</v>
      </c>
    </row>
    <row r="11" spans="2:10" x14ac:dyDescent="0.25">
      <c r="C11" s="3">
        <v>-2</v>
      </c>
      <c r="D11" s="3">
        <f t="shared" si="2"/>
        <v>-1.9982</v>
      </c>
      <c r="E11" s="3">
        <f t="shared" si="3"/>
        <v>-7.3267333333333333</v>
      </c>
      <c r="F11" s="2">
        <f>(0.334*0.5^((C11+5)/6.31))*'EF Adjustment Table'!I$9</f>
        <v>0.17827233394843547</v>
      </c>
      <c r="G11" s="8">
        <f t="shared" si="4"/>
        <v>237.69644526458066</v>
      </c>
      <c r="H11" s="2">
        <f>IF(Calculator!$E$11='GWP reference values'!$C$6,G11*'GWP reference values'!$D$6/1000,IF(Calculator!$E$11='GWP reference values'!$C$7,G11*'GWP reference values'!$D$7/1000,IF(Calculator!$E$11='GWP reference values'!$C$8,G11*'GWP reference values'!$D$8/1000,"Error")))</f>
        <v>6.6555004674082587</v>
      </c>
      <c r="I11" s="2">
        <f t="shared" si="5"/>
        <v>-0.67123286592507458</v>
      </c>
      <c r="J11" s="3">
        <f t="shared" si="6"/>
        <v>-2</v>
      </c>
    </row>
    <row r="12" spans="2:10" x14ac:dyDescent="0.25">
      <c r="C12" s="3">
        <v>-1</v>
      </c>
      <c r="D12" s="3">
        <f t="shared" ref="D12:D18" si="7">0.1341*C12-1.73</f>
        <v>-1.8641000000000001</v>
      </c>
      <c r="E12" s="3">
        <f t="shared" ref="E12:E18" si="8">D12/12*44</f>
        <v>-6.8350333333333344</v>
      </c>
      <c r="F12" s="2">
        <f>(0.334*0.5^((C12+5)/6.31))*'EF Adjustment Table'!I$9</f>
        <v>0.15972655925848997</v>
      </c>
      <c r="G12" s="8">
        <f t="shared" si="4"/>
        <v>212.96874567798662</v>
      </c>
      <c r="H12" s="2">
        <f>IF(Calculator!$E$11='GWP reference values'!$C$6,G12*'GWP reference values'!$D$6/1000,IF(Calculator!$E$11='GWP reference values'!$C$7,G12*'GWP reference values'!$D$7/1000,IF(Calculator!$E$11='GWP reference values'!$C$8,G12*'GWP reference values'!$D$8/1000,"Error")))</f>
        <v>5.9631248789836251</v>
      </c>
      <c r="I12" s="2">
        <f t="shared" ref="I12:I26" si="9">SUM(H12,E12)</f>
        <v>-0.87190845434970932</v>
      </c>
      <c r="J12" s="3">
        <f t="shared" ref="J12:J26" si="10">C12</f>
        <v>-1</v>
      </c>
    </row>
    <row r="13" spans="2:10" x14ac:dyDescent="0.25">
      <c r="C13" s="3">
        <v>0</v>
      </c>
      <c r="D13" s="3">
        <f t="shared" si="7"/>
        <v>-1.73</v>
      </c>
      <c r="E13" s="3">
        <f t="shared" si="8"/>
        <v>-6.3433333333333337</v>
      </c>
      <c r="F13" s="2">
        <f>(0.334*0.5^((C13+5)/6.31))*'EF Adjustment Table'!I$9</f>
        <v>0.14311011230679974</v>
      </c>
      <c r="G13" s="8">
        <f t="shared" si="4"/>
        <v>190.81348307573299</v>
      </c>
      <c r="H13" s="2">
        <f>IF(Calculator!$E$11='GWP reference values'!$C$6,G13*'GWP reference values'!$D$6/1000,IF(Calculator!$E$11='GWP reference values'!$C$7,G13*'GWP reference values'!$D$7/1000,IF(Calculator!$E$11='GWP reference values'!$C$8,G13*'GWP reference values'!$D$8/1000,"Error")))</f>
        <v>5.342777526120523</v>
      </c>
      <c r="I13" s="2">
        <f t="shared" si="9"/>
        <v>-1.0005558072128107</v>
      </c>
      <c r="J13" s="3">
        <f t="shared" si="10"/>
        <v>0</v>
      </c>
    </row>
    <row r="14" spans="2:10" x14ac:dyDescent="0.25">
      <c r="C14" s="3">
        <v>1</v>
      </c>
      <c r="D14" s="3">
        <f t="shared" si="7"/>
        <v>-1.5958999999999999</v>
      </c>
      <c r="E14" s="3">
        <f t="shared" si="8"/>
        <v>-5.8516333333333321</v>
      </c>
      <c r="F14" s="2">
        <f>(0.334*0.5^((C14+5)/6.31))*'EF Adjustment Table'!I$9</f>
        <v>0.12822228400550878</v>
      </c>
      <c r="G14" s="8">
        <f t="shared" si="4"/>
        <v>170.96304534067838</v>
      </c>
      <c r="H14" s="2">
        <f>IF(Calculator!$E$11='GWP reference values'!$C$6,G14*'GWP reference values'!$D$6/1000,IF(Calculator!$E$11='GWP reference values'!$C$7,G14*'GWP reference values'!$D$7/1000,IF(Calculator!$E$11='GWP reference values'!$C$8,G14*'GWP reference values'!$D$8/1000,"Error")))</f>
        <v>4.7869652695389941</v>
      </c>
      <c r="I14" s="2">
        <f t="shared" si="9"/>
        <v>-1.064668063794338</v>
      </c>
      <c r="J14" s="3">
        <f t="shared" si="10"/>
        <v>1</v>
      </c>
    </row>
    <row r="15" spans="2:10" x14ac:dyDescent="0.25">
      <c r="C15" s="3">
        <v>2</v>
      </c>
      <c r="D15" s="3">
        <f t="shared" si="7"/>
        <v>-1.4618</v>
      </c>
      <c r="E15" s="3">
        <f t="shared" si="8"/>
        <v>-5.3599333333333332</v>
      </c>
      <c r="F15" s="2">
        <f>(0.334*0.5^((C15+5)/6.31))*'EF Adjustment Table'!I$9</f>
        <v>0.11488324515002274</v>
      </c>
      <c r="G15" s="8">
        <f t="shared" si="4"/>
        <v>153.17766020003032</v>
      </c>
      <c r="H15" s="2">
        <f>IF(Calculator!$E$11='GWP reference values'!$C$6,G15*'GWP reference values'!$D$6/1000,IF(Calculator!$E$11='GWP reference values'!$C$7,G15*'GWP reference values'!$D$7/1000,IF(Calculator!$E$11='GWP reference values'!$C$8,G15*'GWP reference values'!$D$8/1000,"Error")))</f>
        <v>4.2889744856008489</v>
      </c>
      <c r="I15" s="2">
        <f t="shared" si="9"/>
        <v>-1.0709588477324843</v>
      </c>
      <c r="J15" s="3">
        <f t="shared" si="10"/>
        <v>2</v>
      </c>
    </row>
    <row r="16" spans="2:10" x14ac:dyDescent="0.25">
      <c r="C16" s="3">
        <v>3</v>
      </c>
      <c r="D16" s="3">
        <f t="shared" si="7"/>
        <v>-1.3277000000000001</v>
      </c>
      <c r="E16" s="3">
        <f t="shared" si="8"/>
        <v>-4.8682333333333343</v>
      </c>
      <c r="F16" s="2">
        <f>(0.334*0.5^((C16+5)/6.31))*'EF Adjustment Table'!I$9</f>
        <v>0.1029318742725967</v>
      </c>
      <c r="G16" s="8">
        <f t="shared" si="4"/>
        <v>137.24249903012893</v>
      </c>
      <c r="H16" s="2">
        <f>IF(Calculator!$E$11='GWP reference values'!$C$6,G16*'GWP reference values'!$D$6/1000,IF(Calculator!$E$11='GWP reference values'!$C$7,G16*'GWP reference values'!$D$7/1000,IF(Calculator!$E$11='GWP reference values'!$C$8,G16*'GWP reference values'!$D$8/1000,"Error")))</f>
        <v>3.8427899728436099</v>
      </c>
      <c r="I16" s="2">
        <f t="shared" si="9"/>
        <v>-1.0254433604897244</v>
      </c>
      <c r="J16" s="3">
        <f t="shared" si="10"/>
        <v>3</v>
      </c>
    </row>
    <row r="17" spans="2:10" x14ac:dyDescent="0.25">
      <c r="C17" s="3">
        <v>4</v>
      </c>
      <c r="D17" s="3">
        <f t="shared" si="7"/>
        <v>-1.1936</v>
      </c>
      <c r="E17" s="3">
        <f t="shared" si="8"/>
        <v>-4.3765333333333327</v>
      </c>
      <c r="F17" s="2">
        <f>(0.334*0.5^((C17+5)/6.31))*'EF Adjustment Table'!I$9</f>
        <v>9.2223811465579592E-2</v>
      </c>
      <c r="G17" s="8">
        <f t="shared" si="4"/>
        <v>122.96508195410611</v>
      </c>
      <c r="H17" s="2">
        <f>IF(Calculator!$E$11='GWP reference values'!$C$6,G17*'GWP reference values'!$D$6/1000,IF(Calculator!$E$11='GWP reference values'!$C$7,G17*'GWP reference values'!$D$7/1000,IF(Calculator!$E$11='GWP reference values'!$C$8,G17*'GWP reference values'!$D$8/1000,"Error")))</f>
        <v>3.4430222947149711</v>
      </c>
      <c r="I17" s="2">
        <f t="shared" si="9"/>
        <v>-0.9335110386183616</v>
      </c>
      <c r="J17" s="3">
        <f t="shared" si="10"/>
        <v>4</v>
      </c>
    </row>
    <row r="18" spans="2:10" x14ac:dyDescent="0.25">
      <c r="C18" s="3">
        <v>5</v>
      </c>
      <c r="D18" s="3">
        <f t="shared" si="7"/>
        <v>-1.0594999999999999</v>
      </c>
      <c r="E18" s="3">
        <f t="shared" si="8"/>
        <v>-3.8848333333333329</v>
      </c>
      <c r="F18" s="2">
        <f>(0.334*0.5^((C18+5)/6.31))*'EF Adjustment Table'!I$9</f>
        <v>8.2629714666558815E-2</v>
      </c>
      <c r="G18" s="8">
        <f t="shared" si="4"/>
        <v>110.17295288874509</v>
      </c>
      <c r="H18" s="2">
        <f>IF(Calculator!$E$11='GWP reference values'!$C$6,G18*'GWP reference values'!$D$6/1000,IF(Calculator!$E$11='GWP reference values'!$C$7,G18*'GWP reference values'!$D$7/1000,IF(Calculator!$E$11='GWP reference values'!$C$8,G18*'GWP reference values'!$D$8/1000,"Error")))</f>
        <v>3.0848426808848628</v>
      </c>
      <c r="I18" s="2">
        <f t="shared" si="9"/>
        <v>-0.79999065244847012</v>
      </c>
      <c r="J18" s="3">
        <f t="shared" si="10"/>
        <v>5</v>
      </c>
    </row>
    <row r="19" spans="2:10" x14ac:dyDescent="0.25">
      <c r="C19" s="3">
        <v>6</v>
      </c>
      <c r="D19" s="3">
        <f t="shared" si="0"/>
        <v>-0.9254</v>
      </c>
      <c r="E19" s="3">
        <f t="shared" ref="E19:E26" si="11">D19/12*44</f>
        <v>-3.3931333333333331</v>
      </c>
      <c r="F19" s="2">
        <f>(0.334*0.5^((C19+5)/6.31))*'EF Adjustment Table'!I$9</f>
        <v>7.403369734317683E-2</v>
      </c>
      <c r="G19" s="8">
        <f t="shared" ref="G19:G26" si="12">F19*1000*16/12</f>
        <v>98.711596457569101</v>
      </c>
      <c r="H19" s="2">
        <f>IF(Calculator!$E$11='GWP reference values'!$C$6,G19*'GWP reference values'!$D$6/1000,IF(Calculator!$E$11='GWP reference values'!$C$7,G19*'GWP reference values'!$D$7/1000,IF(Calculator!$E$11='GWP reference values'!$C$8,G19*'GWP reference values'!$D$8/1000,"Error")))</f>
        <v>2.7639247008119345</v>
      </c>
      <c r="I19" s="2">
        <f t="shared" si="9"/>
        <v>-0.62920863252139858</v>
      </c>
      <c r="J19" s="3">
        <f t="shared" si="10"/>
        <v>6</v>
      </c>
    </row>
    <row r="20" spans="2:10" x14ac:dyDescent="0.25">
      <c r="C20" s="3">
        <v>7</v>
      </c>
      <c r="D20" s="3">
        <f t="shared" ref="D20:D25" si="13">0.1341*C20-1.73</f>
        <v>-0.7913</v>
      </c>
      <c r="E20" s="3">
        <f t="shared" ref="E20:E25" si="14">D20/12*44</f>
        <v>-2.9014333333333333</v>
      </c>
      <c r="F20" s="2">
        <f>(0.334*0.5^((C20+5)/6.31))*'EF Adjustment Table'!I$9</f>
        <v>6.6331928706505963E-2</v>
      </c>
      <c r="G20" s="8">
        <f t="shared" ref="G20:G25" si="15">F20*1000*16/12</f>
        <v>88.442571608674612</v>
      </c>
      <c r="H20" s="2">
        <f>IF(Calculator!$E$11='GWP reference values'!$C$6,G20*'GWP reference values'!$D$6/1000,IF(Calculator!$E$11='GWP reference values'!$C$7,G20*'GWP reference values'!$D$7/1000,IF(Calculator!$E$11='GWP reference values'!$C$8,G20*'GWP reference values'!$D$8/1000,"Error")))</f>
        <v>2.4763920050428894</v>
      </c>
      <c r="I20" s="2">
        <f t="shared" si="9"/>
        <v>-0.42504132829044394</v>
      </c>
      <c r="J20" s="3">
        <f t="shared" si="10"/>
        <v>7</v>
      </c>
    </row>
    <row r="21" spans="2:10" x14ac:dyDescent="0.25">
      <c r="C21" s="3">
        <v>8</v>
      </c>
      <c r="D21" s="3">
        <f t="shared" si="13"/>
        <v>-0.65720000000000001</v>
      </c>
      <c r="E21" s="3">
        <f t="shared" si="14"/>
        <v>-2.4097333333333331</v>
      </c>
      <c r="F21" s="2">
        <f>(0.334*0.5^((C21+5)/6.31))*'EF Adjustment Table'!I$9</f>
        <v>5.9431379545040401E-2</v>
      </c>
      <c r="G21" s="8">
        <f t="shared" si="15"/>
        <v>79.241839393387195</v>
      </c>
      <c r="H21" s="2">
        <f>IF(Calculator!$E$11='GWP reference values'!$C$6,G21*'GWP reference values'!$D$6/1000,IF(Calculator!$E$11='GWP reference values'!$C$7,G21*'GWP reference values'!$D$7/1000,IF(Calculator!$E$11='GWP reference values'!$C$8,G21*'GWP reference values'!$D$8/1000,"Error")))</f>
        <v>2.2187715030148416</v>
      </c>
      <c r="I21" s="2">
        <f t="shared" si="9"/>
        <v>-0.19096183031849145</v>
      </c>
      <c r="J21" s="3">
        <f t="shared" si="10"/>
        <v>8</v>
      </c>
    </row>
    <row r="22" spans="2:10" x14ac:dyDescent="0.25">
      <c r="C22" s="3">
        <v>9</v>
      </c>
      <c r="D22" s="3">
        <f t="shared" si="13"/>
        <v>-0.5230999999999999</v>
      </c>
      <c r="E22" s="3">
        <f t="shared" si="14"/>
        <v>-1.918033333333333</v>
      </c>
      <c r="F22" s="2">
        <f>(0.334*0.5^((C22+5)/6.31))*'EF Adjustment Table'!I$9</f>
        <v>5.3248698530308398E-2</v>
      </c>
      <c r="G22" s="8">
        <f t="shared" si="15"/>
        <v>70.998264707077865</v>
      </c>
      <c r="H22" s="2">
        <f>IF(Calculator!$E$11='GWP reference values'!$C$6,G22*'GWP reference values'!$D$6/1000,IF(Calculator!$E$11='GWP reference values'!$C$7,G22*'GWP reference values'!$D$7/1000,IF(Calculator!$E$11='GWP reference values'!$C$8,G22*'GWP reference values'!$D$8/1000,"Error")))</f>
        <v>1.9879514117981802</v>
      </c>
      <c r="I22" s="2">
        <f t="shared" si="9"/>
        <v>6.9918078464847211E-2</v>
      </c>
      <c r="J22" s="3">
        <f t="shared" si="10"/>
        <v>9</v>
      </c>
    </row>
    <row r="23" spans="2:10" x14ac:dyDescent="0.25">
      <c r="C23" s="3">
        <v>10</v>
      </c>
      <c r="D23" s="3">
        <f t="shared" si="13"/>
        <v>-0.38900000000000001</v>
      </c>
      <c r="E23" s="3">
        <f t="shared" si="14"/>
        <v>-1.4263333333333335</v>
      </c>
      <c r="F23" s="2">
        <f>(0.334*0.5^((C23+5)/6.31))*'EF Adjustment Table'!I$9</f>
        <v>4.7709205421065923E-2</v>
      </c>
      <c r="G23" s="8">
        <f t="shared" si="15"/>
        <v>63.612273894754566</v>
      </c>
      <c r="H23" s="2">
        <f>IF(Calculator!$E$11='GWP reference values'!$C$6,G23*'GWP reference values'!$D$6/1000,IF(Calculator!$E$11='GWP reference values'!$C$7,G23*'GWP reference values'!$D$7/1000,IF(Calculator!$E$11='GWP reference values'!$C$8,G23*'GWP reference values'!$D$8/1000,"Error")))</f>
        <v>1.7811436690531277</v>
      </c>
      <c r="I23" s="2">
        <f t="shared" si="9"/>
        <v>0.35481033571979426</v>
      </c>
      <c r="J23" s="3">
        <f t="shared" si="10"/>
        <v>10</v>
      </c>
    </row>
    <row r="24" spans="2:10" x14ac:dyDescent="0.25">
      <c r="C24" s="3">
        <v>11</v>
      </c>
      <c r="D24" s="3">
        <f t="shared" si="13"/>
        <v>-0.25490000000000013</v>
      </c>
      <c r="E24" s="3">
        <f t="shared" si="14"/>
        <v>-0.93463333333333376</v>
      </c>
      <c r="F24" s="2">
        <f>(0.334*0.5^((C24+5)/6.31))*'EF Adjustment Table'!I$9</f>
        <v>4.2745989005043991E-2</v>
      </c>
      <c r="G24" s="8">
        <f t="shared" si="15"/>
        <v>56.994652006725318</v>
      </c>
      <c r="H24" s="2">
        <f>IF(Calculator!$E$11='GWP reference values'!$C$6,G24*'GWP reference values'!$D$6/1000,IF(Calculator!$E$11='GWP reference values'!$C$7,G24*'GWP reference values'!$D$7/1000,IF(Calculator!$E$11='GWP reference values'!$C$8,G24*'GWP reference values'!$D$8/1000,"Error")))</f>
        <v>1.5958502561883088</v>
      </c>
      <c r="I24" s="2">
        <f t="shared" si="9"/>
        <v>0.66121692285497502</v>
      </c>
      <c r="J24" s="3">
        <f t="shared" si="10"/>
        <v>11</v>
      </c>
    </row>
    <row r="25" spans="2:10" x14ac:dyDescent="0.25">
      <c r="C25" s="3">
        <v>12</v>
      </c>
      <c r="D25" s="3">
        <f t="shared" si="13"/>
        <v>-0.12080000000000002</v>
      </c>
      <c r="E25" s="3">
        <f t="shared" si="14"/>
        <v>-0.4429333333333334</v>
      </c>
      <c r="F25" s="2">
        <f>(0.334*0.5^((C25+5)/6.31))*'EF Adjustment Table'!I$9</f>
        <v>3.8299098882341412E-2</v>
      </c>
      <c r="G25" s="8">
        <f t="shared" si="15"/>
        <v>51.065465176455213</v>
      </c>
      <c r="H25" s="2">
        <f>IF(Calculator!$E$11='GWP reference values'!$C$6,G25*'GWP reference values'!$D$6/1000,IF(Calculator!$E$11='GWP reference values'!$C$7,G25*'GWP reference values'!$D$7/1000,IF(Calculator!$E$11='GWP reference values'!$C$8,G25*'GWP reference values'!$D$8/1000,"Error")))</f>
        <v>1.4298330249407458</v>
      </c>
      <c r="I25" s="2">
        <f t="shared" si="9"/>
        <v>0.98689969160741242</v>
      </c>
      <c r="J25" s="3">
        <f t="shared" si="10"/>
        <v>12</v>
      </c>
    </row>
    <row r="26" spans="2:10" x14ac:dyDescent="0.25">
      <c r="B26" s="4"/>
      <c r="C26" s="14">
        <v>13</v>
      </c>
      <c r="D26" s="14">
        <f t="shared" si="0"/>
        <v>1.330000000000009E-2</v>
      </c>
      <c r="E26" s="14">
        <f t="shared" si="11"/>
        <v>4.8766666666666993E-2</v>
      </c>
      <c r="F26" s="15">
        <f>(0.334*0.5^((C26+5)/6.31))*'EF Adjustment Table'!I$9</f>
        <v>3.4314821328061483E-2</v>
      </c>
      <c r="G26" s="16">
        <f t="shared" si="12"/>
        <v>45.753095104081979</v>
      </c>
      <c r="H26" s="15">
        <f>IF(Calculator!$E$11='GWP reference values'!$C$6,G26*'GWP reference values'!$D$6/1000,IF(Calculator!$E$11='GWP reference values'!$C$7,G26*'GWP reference values'!$D$7/1000,IF(Calculator!$E$11='GWP reference values'!$C$8,G26*'GWP reference values'!$D$8/1000,"Error")))</f>
        <v>1.2810866629142954</v>
      </c>
      <c r="I26" s="15">
        <f t="shared" si="9"/>
        <v>1.3298533295809625</v>
      </c>
      <c r="J26" s="14">
        <f t="shared" si="10"/>
        <v>13</v>
      </c>
    </row>
    <row r="28" spans="2:10" x14ac:dyDescent="0.25">
      <c r="B28" t="s">
        <v>252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35"/>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253</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t="s">
        <v>69</v>
      </c>
      <c r="I6" s="4" t="s">
        <v>69</v>
      </c>
      <c r="J6" s="4" t="s">
        <v>165</v>
      </c>
    </row>
    <row r="7" spans="2:10" x14ac:dyDescent="0.25">
      <c r="B7" s="9" t="s">
        <v>248</v>
      </c>
      <c r="C7" s="10">
        <f>'EF Adjustment Table'!$D$10</f>
        <v>11.721239238017761</v>
      </c>
      <c r="D7" s="10">
        <f>0.1341*C7-1.73</f>
        <v>-0.1581818181818182</v>
      </c>
      <c r="E7" s="10">
        <f>D7/12*44</f>
        <v>-0.58000000000000007</v>
      </c>
      <c r="F7" s="11">
        <f>(0.334*0.5^((C7+5)/6.31))*'EF Adjustment Table'!I$10</f>
        <v>8.3332500000000018E-2</v>
      </c>
      <c r="G7" s="12">
        <f>F7*1000*16/12</f>
        <v>111.11000000000003</v>
      </c>
      <c r="H7" s="15">
        <f>IF(Calculator!$E$11='GWP reference values'!$C$6,G7*'GWP reference values'!$D$6/1000,IF(Calculator!$E$11='GWP reference values'!$C$7,G7*'GWP reference values'!$D$7/1000,IF(Calculator!$E$11='GWP reference values'!$C$8,G7*'GWP reference values'!$D$8/1000,"Error")))</f>
        <v>3.1110800000000007</v>
      </c>
      <c r="I7" s="15">
        <f>SUM(H7,E7)</f>
        <v>2.5310800000000007</v>
      </c>
      <c r="J7" s="14">
        <f>C7</f>
        <v>11.721239238017761</v>
      </c>
    </row>
    <row r="8" spans="2:10" x14ac:dyDescent="0.25">
      <c r="B8" s="1" t="s">
        <v>249</v>
      </c>
      <c r="C8" s="3">
        <v>-5</v>
      </c>
      <c r="D8" s="3">
        <f t="shared" ref="D8:D33" si="0">0.1341*C8-1.73</f>
        <v>-2.4005000000000001</v>
      </c>
      <c r="E8" s="3">
        <f t="shared" ref="E8:E33" si="1">D8/12*44</f>
        <v>-8.8018333333333345</v>
      </c>
      <c r="F8" s="2">
        <f>(0.334*0.5^((C8+5)/6.31))*'EF Adjustment Table'!I$10</f>
        <v>0.52303585241881856</v>
      </c>
      <c r="G8" s="8">
        <f t="shared" ref="G8:G33" si="2">F8*1000*16/12</f>
        <v>697.38113655842471</v>
      </c>
      <c r="H8" s="66">
        <f>IF(Calculator!$E$11='GWP reference values'!$C$6,G8*'GWP reference values'!$D$6/1000,IF(Calculator!$E$11='GWP reference values'!$C$7,G8*'GWP reference values'!$D$7/1000,IF(Calculator!$E$11='GWP reference values'!$C$8,G8*'GWP reference values'!$D$8/1000,"Error")))</f>
        <v>19.526671823635894</v>
      </c>
      <c r="I8" s="66">
        <f>SUM(H8,E8)</f>
        <v>10.72483849030256</v>
      </c>
      <c r="J8" s="67">
        <f>C8</f>
        <v>-5</v>
      </c>
    </row>
    <row r="9" spans="2:10" x14ac:dyDescent="0.25">
      <c r="C9" s="3">
        <v>-4</v>
      </c>
      <c r="D9" s="3">
        <f t="shared" ref="D9:D21" si="3">0.1341*C9-1.73</f>
        <v>-2.2664</v>
      </c>
      <c r="E9" s="3">
        <f t="shared" ref="E9:E21" si="4">D9/12*44</f>
        <v>-8.3101333333333329</v>
      </c>
      <c r="F9" s="2">
        <f>(0.334*0.5^((C9+5)/6.31))*'EF Adjustment Table'!I$10</f>
        <v>0.46862412818274768</v>
      </c>
      <c r="G9" s="8">
        <f t="shared" ref="G9:G21" si="5">F9*1000*16/12</f>
        <v>624.83217091033021</v>
      </c>
      <c r="H9" s="2">
        <f>IF(Calculator!$E$11='GWP reference values'!$C$6,G9*'GWP reference values'!$D$6/1000,IF(Calculator!$E$11='GWP reference values'!$C$7,G9*'GWP reference values'!$D$7/1000,IF(Calculator!$E$11='GWP reference values'!$C$8,G9*'GWP reference values'!$D$8/1000,"Error")))</f>
        <v>17.495300785489245</v>
      </c>
      <c r="I9" s="2">
        <f t="shared" ref="I9:I11" si="6">SUM(H9,E9)</f>
        <v>9.1851674521559126</v>
      </c>
      <c r="J9" s="3">
        <f t="shared" ref="J9:J11" si="7">C9</f>
        <v>-4</v>
      </c>
    </row>
    <row r="10" spans="2:10" x14ac:dyDescent="0.25">
      <c r="C10" s="3">
        <v>-3</v>
      </c>
      <c r="D10" s="3">
        <f t="shared" si="3"/>
        <v>-2.1322999999999999</v>
      </c>
      <c r="E10" s="3">
        <f t="shared" si="4"/>
        <v>-7.8184333333333331</v>
      </c>
      <c r="F10" s="2">
        <f>(0.334*0.5^((C10+5)/6.31))*'EF Adjustment Table'!I$10</f>
        <v>0.41987288729719779</v>
      </c>
      <c r="G10" s="8">
        <f t="shared" si="5"/>
        <v>559.83051639626376</v>
      </c>
      <c r="H10" s="2">
        <f>IF(Calculator!$E$11='GWP reference values'!$C$6,G10*'GWP reference values'!$D$6/1000,IF(Calculator!$E$11='GWP reference values'!$C$7,G10*'GWP reference values'!$D$7/1000,IF(Calculator!$E$11='GWP reference values'!$C$8,G10*'GWP reference values'!$D$8/1000,"Error")))</f>
        <v>15.675254459095386</v>
      </c>
      <c r="I10" s="2">
        <f t="shared" si="6"/>
        <v>7.8568211257620533</v>
      </c>
      <c r="J10" s="3">
        <f t="shared" si="7"/>
        <v>-3</v>
      </c>
    </row>
    <row r="11" spans="2:10" x14ac:dyDescent="0.25">
      <c r="C11" s="3">
        <v>-2</v>
      </c>
      <c r="D11" s="3">
        <f t="shared" si="3"/>
        <v>-1.9982</v>
      </c>
      <c r="E11" s="3">
        <f t="shared" si="4"/>
        <v>-7.3267333333333333</v>
      </c>
      <c r="F11" s="2">
        <f>(0.334*0.5^((C11+5)/6.31))*'EF Adjustment Table'!I$10</f>
        <v>0.37619326638370804</v>
      </c>
      <c r="G11" s="8">
        <f t="shared" si="5"/>
        <v>501.59102184494401</v>
      </c>
      <c r="H11" s="2">
        <f>IF(Calculator!$E$11='GWP reference values'!$C$6,G11*'GWP reference values'!$D$6/1000,IF(Calculator!$E$11='GWP reference values'!$C$7,G11*'GWP reference values'!$D$7/1000,IF(Calculator!$E$11='GWP reference values'!$C$8,G11*'GWP reference values'!$D$8/1000,"Error")))</f>
        <v>14.044548611658433</v>
      </c>
      <c r="I11" s="2">
        <f t="shared" si="6"/>
        <v>6.7178152783250997</v>
      </c>
      <c r="J11" s="3">
        <f t="shared" si="7"/>
        <v>-2</v>
      </c>
    </row>
    <row r="12" spans="2:10" x14ac:dyDescent="0.25">
      <c r="C12" s="3">
        <v>-1</v>
      </c>
      <c r="D12" s="3">
        <f t="shared" si="3"/>
        <v>-1.8641000000000001</v>
      </c>
      <c r="E12" s="3">
        <f t="shared" si="4"/>
        <v>-6.8350333333333344</v>
      </c>
      <c r="F12" s="2">
        <f>(0.334*0.5^((C12+5)/6.31))*'EF Adjustment Table'!I$10</f>
        <v>0.33705766186391245</v>
      </c>
      <c r="G12" s="8">
        <f t="shared" si="5"/>
        <v>449.41021581854994</v>
      </c>
      <c r="H12" s="2">
        <f>IF(Calculator!$E$11='GWP reference values'!$C$6,G12*'GWP reference values'!$D$6/1000,IF(Calculator!$E$11='GWP reference values'!$C$7,G12*'GWP reference values'!$D$7/1000,IF(Calculator!$E$11='GWP reference values'!$C$8,G12*'GWP reference values'!$D$8/1000,"Error")))</f>
        <v>12.583486042919398</v>
      </c>
      <c r="I12" s="2">
        <f t="shared" ref="I12:I33" si="8">SUM(H12,E12)</f>
        <v>5.748452709586064</v>
      </c>
      <c r="J12" s="3">
        <f t="shared" ref="J12:J33" si="9">C12</f>
        <v>-1</v>
      </c>
    </row>
    <row r="13" spans="2:10" x14ac:dyDescent="0.25">
      <c r="C13" s="3">
        <v>0</v>
      </c>
      <c r="D13" s="3">
        <f t="shared" si="3"/>
        <v>-1.73</v>
      </c>
      <c r="E13" s="3">
        <f t="shared" si="4"/>
        <v>-6.3433333333333337</v>
      </c>
      <c r="F13" s="2">
        <f>(0.334*0.5^((C13+5)/6.31))*'EF Adjustment Table'!I$10</f>
        <v>0.30199335706687064</v>
      </c>
      <c r="G13" s="8">
        <f t="shared" si="5"/>
        <v>402.65780942249421</v>
      </c>
      <c r="H13" s="2">
        <f>IF(Calculator!$E$11='GWP reference values'!$C$6,G13*'GWP reference values'!$D$6/1000,IF(Calculator!$E$11='GWP reference values'!$C$7,G13*'GWP reference values'!$D$7/1000,IF(Calculator!$E$11='GWP reference values'!$C$8,G13*'GWP reference values'!$D$8/1000,"Error")))</f>
        <v>11.274418663829838</v>
      </c>
      <c r="I13" s="2">
        <f t="shared" si="8"/>
        <v>4.9310853304965043</v>
      </c>
      <c r="J13" s="3">
        <f t="shared" si="9"/>
        <v>0</v>
      </c>
    </row>
    <row r="14" spans="2:10" x14ac:dyDescent="0.25">
      <c r="C14" s="3">
        <v>1</v>
      </c>
      <c r="D14" s="3">
        <f t="shared" si="3"/>
        <v>-1.5958999999999999</v>
      </c>
      <c r="E14" s="3">
        <f t="shared" si="4"/>
        <v>-5.8516333333333321</v>
      </c>
      <c r="F14" s="2">
        <f>(0.334*0.5^((C14+5)/6.31))*'EF Adjustment Table'!I$10</f>
        <v>0.2705768123121336</v>
      </c>
      <c r="G14" s="8">
        <f t="shared" si="5"/>
        <v>360.76908308284482</v>
      </c>
      <c r="H14" s="2">
        <f>IF(Calculator!$E$11='GWP reference values'!$C$6,G14*'GWP reference values'!$D$6/1000,IF(Calculator!$E$11='GWP reference values'!$C$7,G14*'GWP reference values'!$D$7/1000,IF(Calculator!$E$11='GWP reference values'!$C$8,G14*'GWP reference values'!$D$8/1000,"Error")))</f>
        <v>10.101534326319655</v>
      </c>
      <c r="I14" s="2">
        <f t="shared" si="8"/>
        <v>4.2499009929863227</v>
      </c>
      <c r="J14" s="3">
        <f t="shared" si="9"/>
        <v>1</v>
      </c>
    </row>
    <row r="15" spans="2:10" x14ac:dyDescent="0.25">
      <c r="C15" s="3">
        <v>2</v>
      </c>
      <c r="D15" s="3">
        <f t="shared" si="3"/>
        <v>-1.4618</v>
      </c>
      <c r="E15" s="3">
        <f t="shared" si="4"/>
        <v>-5.3599333333333332</v>
      </c>
      <c r="F15" s="2">
        <f>(0.334*0.5^((C15+5)/6.31))*'EF Adjustment Table'!I$10</f>
        <v>0.24242854899879218</v>
      </c>
      <c r="G15" s="8">
        <f t="shared" si="5"/>
        <v>323.23806533172291</v>
      </c>
      <c r="H15" s="2">
        <f>IF(Calculator!$E$11='GWP reference values'!$C$6,G15*'GWP reference values'!$D$6/1000,IF(Calculator!$E$11='GWP reference values'!$C$7,G15*'GWP reference values'!$D$7/1000,IF(Calculator!$E$11='GWP reference values'!$C$8,G15*'GWP reference values'!$D$8/1000,"Error")))</f>
        <v>9.050665829288242</v>
      </c>
      <c r="I15" s="2">
        <f t="shared" si="8"/>
        <v>3.6907324959549088</v>
      </c>
      <c r="J15" s="3">
        <f t="shared" si="9"/>
        <v>2</v>
      </c>
    </row>
    <row r="16" spans="2:10" x14ac:dyDescent="0.25">
      <c r="C16" s="3">
        <v>3</v>
      </c>
      <c r="D16" s="3">
        <f t="shared" si="3"/>
        <v>-1.3277000000000001</v>
      </c>
      <c r="E16" s="3">
        <f t="shared" si="4"/>
        <v>-4.8682333333333343</v>
      </c>
      <c r="F16" s="2">
        <f>(0.334*0.5^((C16+5)/6.31))*'EF Adjustment Table'!I$10</f>
        <v>0.21720856590572024</v>
      </c>
      <c r="G16" s="8">
        <f t="shared" si="5"/>
        <v>289.61142120762696</v>
      </c>
      <c r="H16" s="2">
        <f>IF(Calculator!$E$11='GWP reference values'!$C$6,G16*'GWP reference values'!$D$6/1000,IF(Calculator!$E$11='GWP reference values'!$C$7,G16*'GWP reference values'!$D$7/1000,IF(Calculator!$E$11='GWP reference values'!$C$8,G16*'GWP reference values'!$D$8/1000,"Error")))</f>
        <v>8.1091197938135551</v>
      </c>
      <c r="I16" s="2">
        <f t="shared" si="8"/>
        <v>3.2408864604802208</v>
      </c>
      <c r="J16" s="3">
        <f t="shared" si="9"/>
        <v>3</v>
      </c>
    </row>
    <row r="17" spans="2:10" x14ac:dyDescent="0.25">
      <c r="C17" s="3">
        <v>4</v>
      </c>
      <c r="D17" s="3">
        <f t="shared" si="3"/>
        <v>-1.1936</v>
      </c>
      <c r="E17" s="3">
        <f t="shared" si="4"/>
        <v>-4.3765333333333327</v>
      </c>
      <c r="F17" s="2">
        <f>(0.334*0.5^((C17+5)/6.31))*'EF Adjustment Table'!I$10</f>
        <v>0.19461223233677266</v>
      </c>
      <c r="G17" s="8">
        <f t="shared" si="5"/>
        <v>259.48297644903022</v>
      </c>
      <c r="H17" s="2">
        <f>IF(Calculator!$E$11='GWP reference values'!$C$6,G17*'GWP reference values'!$D$6/1000,IF(Calculator!$E$11='GWP reference values'!$C$7,G17*'GWP reference values'!$D$7/1000,IF(Calculator!$E$11='GWP reference values'!$C$8,G17*'GWP reference values'!$D$8/1000,"Error")))</f>
        <v>7.2655233405728463</v>
      </c>
      <c r="I17" s="2">
        <f t="shared" si="8"/>
        <v>2.8889900072395136</v>
      </c>
      <c r="J17" s="3">
        <f t="shared" si="9"/>
        <v>4</v>
      </c>
    </row>
    <row r="18" spans="2:10" x14ac:dyDescent="0.25">
      <c r="C18" s="3">
        <v>5</v>
      </c>
      <c r="D18" s="3">
        <f t="shared" si="3"/>
        <v>-1.0594999999999999</v>
      </c>
      <c r="E18" s="3">
        <f t="shared" si="4"/>
        <v>-3.8848333333333329</v>
      </c>
      <c r="F18" s="2">
        <f>(0.334*0.5^((C18+5)/6.31))*'EF Adjustment Table'!I$10</f>
        <v>0.17436660850447874</v>
      </c>
      <c r="G18" s="8">
        <f t="shared" si="5"/>
        <v>232.48881133930499</v>
      </c>
      <c r="H18" s="2">
        <f>IF(Calculator!$E$11='GWP reference values'!$C$6,G18*'GWP reference values'!$D$6/1000,IF(Calculator!$E$11='GWP reference values'!$C$7,G18*'GWP reference values'!$D$7/1000,IF(Calculator!$E$11='GWP reference values'!$C$8,G18*'GWP reference values'!$D$8/1000,"Error")))</f>
        <v>6.5096867175005402</v>
      </c>
      <c r="I18" s="2">
        <f t="shared" si="8"/>
        <v>2.6248533841672073</v>
      </c>
      <c r="J18" s="3">
        <f t="shared" si="9"/>
        <v>5</v>
      </c>
    </row>
    <row r="19" spans="2:10" x14ac:dyDescent="0.25">
      <c r="C19" s="3">
        <v>6</v>
      </c>
      <c r="D19" s="3">
        <f t="shared" si="3"/>
        <v>-0.9254</v>
      </c>
      <c r="E19" s="3">
        <f t="shared" si="4"/>
        <v>-3.3931333333333331</v>
      </c>
      <c r="F19" s="2">
        <f>(0.334*0.5^((C19+5)/6.31))*'EF Adjustment Table'!I$10</f>
        <v>0.15622714870636248</v>
      </c>
      <c r="G19" s="8">
        <f t="shared" si="5"/>
        <v>208.30286494181664</v>
      </c>
      <c r="H19" s="2">
        <f>IF(Calculator!$E$11='GWP reference values'!$C$6,G19*'GWP reference values'!$D$6/1000,IF(Calculator!$E$11='GWP reference values'!$C$7,G19*'GWP reference values'!$D$7/1000,IF(Calculator!$E$11='GWP reference values'!$C$8,G19*'GWP reference values'!$D$8/1000,"Error")))</f>
        <v>5.8324802183708666</v>
      </c>
      <c r="I19" s="2">
        <f t="shared" si="8"/>
        <v>2.4393468850375335</v>
      </c>
      <c r="J19" s="3">
        <f t="shared" si="9"/>
        <v>6</v>
      </c>
    </row>
    <row r="20" spans="2:10" x14ac:dyDescent="0.25">
      <c r="C20" s="3">
        <v>7</v>
      </c>
      <c r="D20" s="3">
        <f t="shared" si="3"/>
        <v>-0.7913</v>
      </c>
      <c r="E20" s="3">
        <f t="shared" si="4"/>
        <v>-2.9014333333333333</v>
      </c>
      <c r="F20" s="2">
        <f>(0.334*0.5^((C20+5)/6.31))*'EF Adjustment Table'!I$10</f>
        <v>0.13997474747174993</v>
      </c>
      <c r="G20" s="8">
        <f t="shared" si="5"/>
        <v>186.6329966289999</v>
      </c>
      <c r="H20" s="2">
        <f>IF(Calculator!$E$11='GWP reference values'!$C$6,G20*'GWP reference values'!$D$6/1000,IF(Calculator!$E$11='GWP reference values'!$C$7,G20*'GWP reference values'!$D$7/1000,IF(Calculator!$E$11='GWP reference values'!$C$8,G20*'GWP reference values'!$D$8/1000,"Error")))</f>
        <v>5.2257239056119973</v>
      </c>
      <c r="I20" s="2">
        <f t="shared" si="8"/>
        <v>2.324290572278664</v>
      </c>
      <c r="J20" s="3">
        <f t="shared" si="9"/>
        <v>7</v>
      </c>
    </row>
    <row r="21" spans="2:10" x14ac:dyDescent="0.25">
      <c r="C21" s="3">
        <v>8</v>
      </c>
      <c r="D21" s="3">
        <f t="shared" si="3"/>
        <v>-0.65720000000000001</v>
      </c>
      <c r="E21" s="3">
        <f t="shared" si="4"/>
        <v>-2.4097333333333331</v>
      </c>
      <c r="F21" s="2">
        <f>(0.334*0.5^((C21+5)/6.31))*'EF Adjustment Table'!I$10</f>
        <v>0.12541309299964348</v>
      </c>
      <c r="G21" s="8">
        <f t="shared" si="5"/>
        <v>167.21745733285798</v>
      </c>
      <c r="H21" s="2">
        <f>IF(Calculator!$E$11='GWP reference values'!$C$6,G21*'GWP reference values'!$D$6/1000,IF(Calculator!$E$11='GWP reference values'!$C$7,G21*'GWP reference values'!$D$7/1000,IF(Calculator!$E$11='GWP reference values'!$C$8,G21*'GWP reference values'!$D$8/1000,"Error")))</f>
        <v>4.6820888053200234</v>
      </c>
      <c r="I21" s="2">
        <f t="shared" si="8"/>
        <v>2.2723554719866903</v>
      </c>
      <c r="J21" s="3">
        <f t="shared" si="9"/>
        <v>8</v>
      </c>
    </row>
    <row r="22" spans="2:10" x14ac:dyDescent="0.25">
      <c r="B22" s="1"/>
      <c r="C22" s="3">
        <v>9</v>
      </c>
      <c r="D22" s="3">
        <f t="shared" ref="D22" si="10">0.1341*C22-1.73</f>
        <v>-0.5230999999999999</v>
      </c>
      <c r="E22" s="3">
        <f t="shared" ref="E22" si="11">D22/12*44</f>
        <v>-1.918033333333333</v>
      </c>
      <c r="F22" s="2">
        <f>(0.334*0.5^((C22+5)/6.31))*'EF Adjustment Table'!I$10</f>
        <v>0.11236629591999499</v>
      </c>
      <c r="G22" s="8">
        <f t="shared" ref="G22" si="12">F22*1000*16/12</f>
        <v>149.82172789332665</v>
      </c>
      <c r="H22" s="2">
        <f>IF(Calculator!$E$11='GWP reference values'!$C$6,G22*'GWP reference values'!$D$6/1000,IF(Calculator!$E$11='GWP reference values'!$C$7,G22*'GWP reference values'!$D$7/1000,IF(Calculator!$E$11='GWP reference values'!$C$8,G22*'GWP reference values'!$D$8/1000,"Error")))</f>
        <v>4.195008381013146</v>
      </c>
      <c r="I22" s="2">
        <f t="shared" si="8"/>
        <v>2.2769750476798132</v>
      </c>
      <c r="J22" s="3">
        <f t="shared" si="9"/>
        <v>9</v>
      </c>
    </row>
    <row r="23" spans="2:10" x14ac:dyDescent="0.25">
      <c r="C23" s="3">
        <v>10</v>
      </c>
      <c r="D23" s="3">
        <f t="shared" si="0"/>
        <v>-0.38900000000000001</v>
      </c>
      <c r="E23" s="3">
        <f t="shared" si="1"/>
        <v>-1.4263333333333335</v>
      </c>
      <c r="F23" s="2">
        <f>(0.334*0.5^((C23+5)/6.31))*'EF Adjustment Table'!I$10</f>
        <v>0.10067676473632441</v>
      </c>
      <c r="G23" s="8">
        <f t="shared" si="2"/>
        <v>134.2356863150992</v>
      </c>
      <c r="H23" s="2">
        <f>IF(Calculator!$E$11='GWP reference values'!$C$6,G23*'GWP reference values'!$D$6/1000,IF(Calculator!$E$11='GWP reference values'!$C$7,G23*'GWP reference values'!$D$7/1000,IF(Calculator!$E$11='GWP reference values'!$C$8,G23*'GWP reference values'!$D$8/1000,"Error")))</f>
        <v>3.7585992168227778</v>
      </c>
      <c r="I23" s="2">
        <f t="shared" si="8"/>
        <v>2.3322658834894443</v>
      </c>
      <c r="J23" s="3">
        <f t="shared" si="9"/>
        <v>10</v>
      </c>
    </row>
    <row r="24" spans="2:10" x14ac:dyDescent="0.25">
      <c r="C24" s="3">
        <v>11</v>
      </c>
      <c r="D24" s="3">
        <f t="shared" ref="D24:D32" si="13">0.1341*C24-1.73</f>
        <v>-0.25490000000000013</v>
      </c>
      <c r="E24" s="3">
        <f t="shared" ref="E24:E32" si="14">D24/12*44</f>
        <v>-0.93463333333333376</v>
      </c>
      <c r="F24" s="2">
        <f>(0.334*0.5^((C24+5)/6.31))*'EF Adjustment Table'!I$10</f>
        <v>9.0203302287279519E-2</v>
      </c>
      <c r="G24" s="8">
        <f t="shared" ref="G24:G32" si="15">F24*1000*16/12</f>
        <v>120.27106971637268</v>
      </c>
      <c r="H24" s="2">
        <f>IF(Calculator!$E$11='GWP reference values'!$C$6,G24*'GWP reference values'!$D$6/1000,IF(Calculator!$E$11='GWP reference values'!$C$7,G24*'GWP reference values'!$D$7/1000,IF(Calculator!$E$11='GWP reference values'!$C$8,G24*'GWP reference values'!$D$8/1000,"Error")))</f>
        <v>3.3675899520584349</v>
      </c>
      <c r="I24" s="2">
        <f t="shared" si="8"/>
        <v>2.4329566187251013</v>
      </c>
      <c r="J24" s="3">
        <f t="shared" si="9"/>
        <v>11</v>
      </c>
    </row>
    <row r="25" spans="2:10" x14ac:dyDescent="0.25">
      <c r="C25" s="3">
        <v>12</v>
      </c>
      <c r="D25" s="3">
        <f t="shared" si="13"/>
        <v>-0.12080000000000002</v>
      </c>
      <c r="E25" s="3">
        <f t="shared" si="14"/>
        <v>-0.4429333333333334</v>
      </c>
      <c r="F25" s="2">
        <f>(0.334*0.5^((C25+5)/6.31))*'EF Adjustment Table'!I$10</f>
        <v>8.0819400234407951E-2</v>
      </c>
      <c r="G25" s="8">
        <f t="shared" si="15"/>
        <v>107.75920031254394</v>
      </c>
      <c r="H25" s="2">
        <f>IF(Calculator!$E$11='GWP reference values'!$C$6,G25*'GWP reference values'!$D$6/1000,IF(Calculator!$E$11='GWP reference values'!$C$7,G25*'GWP reference values'!$D$7/1000,IF(Calculator!$E$11='GWP reference values'!$C$8,G25*'GWP reference values'!$D$8/1000,"Error")))</f>
        <v>3.0172576087512302</v>
      </c>
      <c r="I25" s="2">
        <f t="shared" si="8"/>
        <v>2.5743242754178968</v>
      </c>
      <c r="J25" s="3">
        <f t="shared" si="9"/>
        <v>12</v>
      </c>
    </row>
    <row r="26" spans="2:10" x14ac:dyDescent="0.25">
      <c r="C26" s="3">
        <v>13</v>
      </c>
      <c r="D26" s="3">
        <f t="shared" si="13"/>
        <v>1.330000000000009E-2</v>
      </c>
      <c r="E26" s="3">
        <f t="shared" si="14"/>
        <v>4.8766666666666993E-2</v>
      </c>
      <c r="F26" s="2">
        <f>(0.334*0.5^((C26+5)/6.31))*'EF Adjustment Table'!I$10</f>
        <v>7.2411710975358937E-2</v>
      </c>
      <c r="G26" s="8">
        <f t="shared" si="15"/>
        <v>96.548947967145253</v>
      </c>
      <c r="H26" s="2">
        <f>IF(Calculator!$E$11='GWP reference values'!$C$6,G26*'GWP reference values'!$D$6/1000,IF(Calculator!$E$11='GWP reference values'!$C$7,G26*'GWP reference values'!$D$7/1000,IF(Calculator!$E$11='GWP reference values'!$C$8,G26*'GWP reference values'!$D$8/1000,"Error")))</f>
        <v>2.7033705430800667</v>
      </c>
      <c r="I26" s="2">
        <f t="shared" si="8"/>
        <v>2.7521372097467336</v>
      </c>
      <c r="J26" s="3">
        <f t="shared" si="9"/>
        <v>13</v>
      </c>
    </row>
    <row r="27" spans="2:10" x14ac:dyDescent="0.25">
      <c r="C27" s="3">
        <v>14</v>
      </c>
      <c r="D27" s="3">
        <f t="shared" si="13"/>
        <v>0.14739999999999998</v>
      </c>
      <c r="E27" s="3">
        <f t="shared" si="14"/>
        <v>0.54046666666666665</v>
      </c>
      <c r="F27" s="2">
        <f>(0.334*0.5^((C27+5)/6.31))*'EF Adjustment Table'!I$10</f>
        <v>6.4878678524844788E-2</v>
      </c>
      <c r="G27" s="8">
        <f t="shared" si="15"/>
        <v>86.504904699793045</v>
      </c>
      <c r="H27" s="2">
        <f>IF(Calculator!$E$11='GWP reference values'!$C$6,G27*'GWP reference values'!$D$6/1000,IF(Calculator!$E$11='GWP reference values'!$C$7,G27*'GWP reference values'!$D$7/1000,IF(Calculator!$E$11='GWP reference values'!$C$8,G27*'GWP reference values'!$D$8/1000,"Error")))</f>
        <v>2.4221373315942052</v>
      </c>
      <c r="I27" s="2">
        <f t="shared" si="8"/>
        <v>2.9626039982608718</v>
      </c>
      <c r="J27" s="3">
        <f t="shared" si="9"/>
        <v>14</v>
      </c>
    </row>
    <row r="28" spans="2:10" x14ac:dyDescent="0.25">
      <c r="C28" s="3">
        <v>15</v>
      </c>
      <c r="D28" s="3">
        <f t="shared" si="13"/>
        <v>0.28149999999999986</v>
      </c>
      <c r="E28" s="3">
        <f t="shared" si="14"/>
        <v>1.032166666666666</v>
      </c>
      <c r="F28" s="2">
        <f>(0.334*0.5^((C28+5)/6.31))*'EF Adjustment Table'!I$10</f>
        <v>5.812931182585266E-2</v>
      </c>
      <c r="G28" s="8">
        <f t="shared" si="15"/>
        <v>77.505749101136885</v>
      </c>
      <c r="H28" s="2">
        <f>IF(Calculator!$E$11='GWP reference values'!$C$6,G28*'GWP reference values'!$D$6/1000,IF(Calculator!$E$11='GWP reference values'!$C$7,G28*'GWP reference values'!$D$7/1000,IF(Calculator!$E$11='GWP reference values'!$C$8,G28*'GWP reference values'!$D$8/1000,"Error")))</f>
        <v>2.1701609748318327</v>
      </c>
      <c r="I28" s="2">
        <f t="shared" si="8"/>
        <v>3.2023276414984987</v>
      </c>
      <c r="J28" s="3">
        <f t="shared" si="9"/>
        <v>15</v>
      </c>
    </row>
    <row r="29" spans="2:10" x14ac:dyDescent="0.25">
      <c r="C29" s="3">
        <v>16</v>
      </c>
      <c r="D29" s="3">
        <f t="shared" si="13"/>
        <v>0.41559999999999997</v>
      </c>
      <c r="E29" s="3">
        <f t="shared" si="14"/>
        <v>1.5238666666666665</v>
      </c>
      <c r="F29" s="2">
        <f>(0.334*0.5^((C29+5)/6.31))*'EF Adjustment Table'!I$10</f>
        <v>5.2082085674005275E-2</v>
      </c>
      <c r="G29" s="8">
        <f t="shared" si="15"/>
        <v>69.442780898673703</v>
      </c>
      <c r="H29" s="2">
        <f>IF(Calculator!$E$11='GWP reference values'!$C$6,G29*'GWP reference values'!$D$6/1000,IF(Calculator!$E$11='GWP reference values'!$C$7,G29*'GWP reference values'!$D$7/1000,IF(Calculator!$E$11='GWP reference values'!$C$8,G29*'GWP reference values'!$D$8/1000,"Error")))</f>
        <v>1.9443978651628635</v>
      </c>
      <c r="I29" s="2">
        <f t="shared" si="8"/>
        <v>3.4682645318295302</v>
      </c>
      <c r="J29" s="3">
        <f t="shared" si="9"/>
        <v>16</v>
      </c>
    </row>
    <row r="30" spans="2:10" x14ac:dyDescent="0.25">
      <c r="C30" s="3">
        <v>17</v>
      </c>
      <c r="D30" s="3">
        <f t="shared" si="13"/>
        <v>0.54970000000000008</v>
      </c>
      <c r="E30" s="3">
        <f t="shared" si="14"/>
        <v>2.015566666666667</v>
      </c>
      <c r="F30" s="2">
        <f>(0.334*0.5^((C30+5)/6.31))*'EF Adjustment Table'!I$10</f>
        <v>4.6663955979400359E-2</v>
      </c>
      <c r="G30" s="8">
        <f t="shared" si="15"/>
        <v>62.21860797253381</v>
      </c>
      <c r="H30" s="2">
        <f>IF(Calculator!$E$11='GWP reference values'!$C$6,G30*'GWP reference values'!$D$6/1000,IF(Calculator!$E$11='GWP reference values'!$C$7,G30*'GWP reference values'!$D$7/1000,IF(Calculator!$E$11='GWP reference values'!$C$8,G30*'GWP reference values'!$D$8/1000,"Error")))</f>
        <v>1.7421210232309468</v>
      </c>
      <c r="I30" s="2">
        <f t="shared" si="8"/>
        <v>3.7576876898976135</v>
      </c>
      <c r="J30" s="3">
        <f t="shared" si="9"/>
        <v>17</v>
      </c>
    </row>
    <row r="31" spans="2:10" x14ac:dyDescent="0.25">
      <c r="C31" s="3">
        <v>18</v>
      </c>
      <c r="D31" s="3">
        <f t="shared" si="13"/>
        <v>0.68380000000000019</v>
      </c>
      <c r="E31" s="3">
        <f t="shared" si="14"/>
        <v>2.5072666666666676</v>
      </c>
      <c r="F31" s="2">
        <f>(0.334*0.5^((C31+5)/6.31))*'EF Adjustment Table'!I$10</f>
        <v>4.1809477471334087E-2</v>
      </c>
      <c r="G31" s="8">
        <f t="shared" si="15"/>
        <v>55.745969961778776</v>
      </c>
      <c r="H31" s="2">
        <f>IF(Calculator!$E$11='GWP reference values'!$C$6,G31*'GWP reference values'!$D$6/1000,IF(Calculator!$E$11='GWP reference values'!$C$7,G31*'GWP reference values'!$D$7/1000,IF(Calculator!$E$11='GWP reference values'!$C$8,G31*'GWP reference values'!$D$8/1000,"Error")))</f>
        <v>1.5608871589298057</v>
      </c>
      <c r="I31" s="2">
        <f t="shared" si="8"/>
        <v>4.0681538255964735</v>
      </c>
      <c r="J31" s="3">
        <f t="shared" si="9"/>
        <v>18</v>
      </c>
    </row>
    <row r="32" spans="2:10" x14ac:dyDescent="0.25">
      <c r="C32" s="3">
        <v>19</v>
      </c>
      <c r="D32" s="3">
        <f t="shared" si="13"/>
        <v>0.81789999999999985</v>
      </c>
      <c r="E32" s="3">
        <f t="shared" si="14"/>
        <v>2.9989666666666661</v>
      </c>
      <c r="F32" s="2">
        <f>(0.334*0.5^((C32+5)/6.31))*'EF Adjustment Table'!I$10</f>
        <v>3.7460013188715828E-2</v>
      </c>
      <c r="G32" s="8">
        <f t="shared" si="15"/>
        <v>49.9466842516211</v>
      </c>
      <c r="H32" s="2">
        <f>IF(Calculator!$E$11='GWP reference values'!$C$6,G32*'GWP reference values'!$D$6/1000,IF(Calculator!$E$11='GWP reference values'!$C$7,G32*'GWP reference values'!$D$7/1000,IF(Calculator!$E$11='GWP reference values'!$C$8,G32*'GWP reference values'!$D$8/1000,"Error")))</f>
        <v>1.3985071590453908</v>
      </c>
      <c r="I32" s="2">
        <f t="shared" si="8"/>
        <v>4.3974738257120567</v>
      </c>
      <c r="J32" s="3">
        <f t="shared" si="9"/>
        <v>19</v>
      </c>
    </row>
    <row r="33" spans="2:10" x14ac:dyDescent="0.25">
      <c r="B33" s="4"/>
      <c r="C33" s="14">
        <v>20</v>
      </c>
      <c r="D33" s="14">
        <f t="shared" si="0"/>
        <v>0.95199999999999996</v>
      </c>
      <c r="E33" s="14">
        <f t="shared" si="1"/>
        <v>3.4906666666666664</v>
      </c>
      <c r="F33" s="15">
        <f>(0.334*0.5^((C33+5)/6.31))*'EF Adjustment Table'!I$10</f>
        <v>3.3563026207655396E-2</v>
      </c>
      <c r="G33" s="16">
        <f t="shared" si="2"/>
        <v>44.750701610207194</v>
      </c>
      <c r="H33" s="15">
        <f>IF(Calculator!$E$11='GWP reference values'!$C$6,G33*'GWP reference values'!$D$6/1000,IF(Calculator!$E$11='GWP reference values'!$C$7,G33*'GWP reference values'!$D$7/1000,IF(Calculator!$E$11='GWP reference values'!$C$8,G33*'GWP reference values'!$D$8/1000,"Error")))</f>
        <v>1.2530196450858013</v>
      </c>
      <c r="I33" s="15">
        <f t="shared" si="8"/>
        <v>4.7436863117524677</v>
      </c>
      <c r="J33" s="14">
        <f t="shared" si="9"/>
        <v>20</v>
      </c>
    </row>
    <row r="35" spans="2:10" x14ac:dyDescent="0.25">
      <c r="B35" t="s">
        <v>254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J35"/>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255</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t="s">
        <v>69</v>
      </c>
      <c r="I6" s="4" t="s">
        <v>69</v>
      </c>
      <c r="J6" s="4" t="s">
        <v>165</v>
      </c>
    </row>
    <row r="7" spans="2:10" x14ac:dyDescent="0.25">
      <c r="B7" s="9" t="s">
        <v>248</v>
      </c>
      <c r="C7" s="10">
        <f>'EF Adjustment Table'!$D$11</f>
        <v>11.497525591485322</v>
      </c>
      <c r="D7" s="10">
        <f>0.1341*C7-1.73</f>
        <v>-0.18818181818181823</v>
      </c>
      <c r="E7" s="10">
        <f>D7/12*44</f>
        <v>-0.69000000000000017</v>
      </c>
      <c r="F7" s="11">
        <f>(0.334*0.5^((C7+5)/6.31))*'EF Adjustment Table'!I$11</f>
        <v>8.3579999999999988E-2</v>
      </c>
      <c r="G7" s="12">
        <f>F7*1000*16/12</f>
        <v>111.43999999999998</v>
      </c>
      <c r="H7" s="15">
        <f>IF(Calculator!$E$11='GWP reference values'!$C$6,G7*'GWP reference values'!$D$6/1000,IF(Calculator!$E$11='GWP reference values'!$C$7,G7*'GWP reference values'!$D$7/1000,IF(Calculator!$E$11='GWP reference values'!$C$8,G7*'GWP reference values'!$D$8/1000,"Error")))</f>
        <v>3.1203199999999995</v>
      </c>
      <c r="I7" s="15">
        <f>SUM(H7,E7)</f>
        <v>2.4303199999999991</v>
      </c>
      <c r="J7" s="14">
        <f>C7</f>
        <v>11.497525591485322</v>
      </c>
    </row>
    <row r="8" spans="2:10" x14ac:dyDescent="0.25">
      <c r="B8" s="1" t="s">
        <v>249</v>
      </c>
      <c r="C8" s="3">
        <v>-5</v>
      </c>
      <c r="D8" s="3">
        <f t="shared" ref="D8:D33" si="0">0.1341*C8-1.73</f>
        <v>-2.4005000000000001</v>
      </c>
      <c r="E8" s="3">
        <f t="shared" ref="E8:E33" si="1">D8/12*44</f>
        <v>-8.8018333333333345</v>
      </c>
      <c r="F8" s="2">
        <f>(0.334*0.5^((C8+5)/6.31))*'EF Adjustment Table'!I$11</f>
        <v>0.5118547641540806</v>
      </c>
      <c r="G8" s="8">
        <f t="shared" ref="G8:G33" si="2">F8*1000*16/12</f>
        <v>682.47301887210745</v>
      </c>
      <c r="H8" s="66">
        <f>IF(Calculator!$E$11='GWP reference values'!$C$6,G8*'GWP reference values'!$D$6/1000,IF(Calculator!$E$11='GWP reference values'!$C$7,G8*'GWP reference values'!$D$7/1000,IF(Calculator!$E$11='GWP reference values'!$C$8,G8*'GWP reference values'!$D$8/1000,"Error")))</f>
        <v>19.109244528419008</v>
      </c>
      <c r="I8" s="66">
        <f>SUM(H8,E8)</f>
        <v>10.307411195085674</v>
      </c>
      <c r="J8" s="67">
        <f>C8</f>
        <v>-5</v>
      </c>
    </row>
    <row r="9" spans="2:10" x14ac:dyDescent="0.25">
      <c r="C9" s="3">
        <v>-4</v>
      </c>
      <c r="D9" s="3">
        <f t="shared" ref="D9:D27" si="3">0.1341*C9-1.73</f>
        <v>-2.2664</v>
      </c>
      <c r="E9" s="3">
        <f t="shared" ref="E9:E27" si="4">D9/12*44</f>
        <v>-8.3101333333333329</v>
      </c>
      <c r="F9" s="2">
        <f>(0.334*0.5^((C9+5)/6.31))*'EF Adjustment Table'!I$11</f>
        <v>0.45860621503976584</v>
      </c>
      <c r="G9" s="8">
        <f t="shared" ref="G9:G27" si="5">F9*1000*16/12</f>
        <v>611.47495338635451</v>
      </c>
      <c r="H9" s="2">
        <f>IF(Calculator!$E$11='GWP reference values'!$C$6,G9*'GWP reference values'!$D$6/1000,IF(Calculator!$E$11='GWP reference values'!$C$7,G9*'GWP reference values'!$D$7/1000,IF(Calculator!$E$11='GWP reference values'!$C$8,G9*'GWP reference values'!$D$8/1000,"Error")))</f>
        <v>17.121298694817927</v>
      </c>
      <c r="I9" s="2">
        <f t="shared" ref="I9:I11" si="6">SUM(H9,E9)</f>
        <v>8.8111653614845942</v>
      </c>
      <c r="J9" s="3">
        <f t="shared" ref="J9:J11" si="7">C9</f>
        <v>-4</v>
      </c>
    </row>
    <row r="10" spans="2:10" x14ac:dyDescent="0.25">
      <c r="C10" s="3">
        <v>-3</v>
      </c>
      <c r="D10" s="3">
        <f t="shared" si="3"/>
        <v>-2.1322999999999999</v>
      </c>
      <c r="E10" s="3">
        <f t="shared" si="4"/>
        <v>-7.8184333333333331</v>
      </c>
      <c r="F10" s="2">
        <f>(0.334*0.5^((C10+5)/6.31))*'EF Adjustment Table'!I$11</f>
        <v>0.41089714349086093</v>
      </c>
      <c r="G10" s="8">
        <f t="shared" si="5"/>
        <v>547.86285798781455</v>
      </c>
      <c r="H10" s="2">
        <f>IF(Calculator!$E$11='GWP reference values'!$C$6,G10*'GWP reference values'!$D$6/1000,IF(Calculator!$E$11='GWP reference values'!$C$7,G10*'GWP reference values'!$D$7/1000,IF(Calculator!$E$11='GWP reference values'!$C$8,G10*'GWP reference values'!$D$8/1000,"Error")))</f>
        <v>15.340160023658807</v>
      </c>
      <c r="I10" s="2">
        <f t="shared" si="6"/>
        <v>7.5217266903254743</v>
      </c>
      <c r="J10" s="3">
        <f t="shared" si="7"/>
        <v>-3</v>
      </c>
    </row>
    <row r="11" spans="2:10" x14ac:dyDescent="0.25">
      <c r="C11" s="3">
        <v>-2</v>
      </c>
      <c r="D11" s="3">
        <f t="shared" si="3"/>
        <v>-1.9982</v>
      </c>
      <c r="E11" s="3">
        <f t="shared" si="4"/>
        <v>-7.3267333333333333</v>
      </c>
      <c r="F11" s="2">
        <f>(0.334*0.5^((C11+5)/6.31))*'EF Adjustment Table'!I$11</f>
        <v>0.36815127443117895</v>
      </c>
      <c r="G11" s="8">
        <f t="shared" si="5"/>
        <v>490.86836590823856</v>
      </c>
      <c r="H11" s="2">
        <f>IF(Calculator!$E$11='GWP reference values'!$C$6,G11*'GWP reference values'!$D$6/1000,IF(Calculator!$E$11='GWP reference values'!$C$7,G11*'GWP reference values'!$D$7/1000,IF(Calculator!$E$11='GWP reference values'!$C$8,G11*'GWP reference values'!$D$8/1000,"Error")))</f>
        <v>13.744314245430679</v>
      </c>
      <c r="I11" s="2">
        <f t="shared" si="6"/>
        <v>6.4175809120973462</v>
      </c>
      <c r="J11" s="3">
        <f t="shared" si="7"/>
        <v>-2</v>
      </c>
    </row>
    <row r="12" spans="2:10" x14ac:dyDescent="0.25">
      <c r="C12" s="3">
        <v>-1</v>
      </c>
      <c r="D12" s="3">
        <f t="shared" si="3"/>
        <v>-1.8641000000000001</v>
      </c>
      <c r="E12" s="3">
        <f t="shared" si="4"/>
        <v>-6.8350333333333344</v>
      </c>
      <c r="F12" s="2">
        <f>(0.334*0.5^((C12+5)/6.31))*'EF Adjustment Table'!I$11</f>
        <v>0.32985228301621372</v>
      </c>
      <c r="G12" s="8">
        <f t="shared" si="5"/>
        <v>439.80304402161829</v>
      </c>
      <c r="H12" s="2">
        <f>IF(Calculator!$E$11='GWP reference values'!$C$6,G12*'GWP reference values'!$D$6/1000,IF(Calculator!$E$11='GWP reference values'!$C$7,G12*'GWP reference values'!$D$7/1000,IF(Calculator!$E$11='GWP reference values'!$C$8,G12*'GWP reference values'!$D$8/1000,"Error")))</f>
        <v>12.314485232605312</v>
      </c>
      <c r="I12" s="2">
        <f t="shared" ref="I12:I33" si="8">SUM(H12,E12)</f>
        <v>5.4794518992719778</v>
      </c>
      <c r="J12" s="3">
        <f t="shared" ref="J12:J33" si="9">C12</f>
        <v>-1</v>
      </c>
    </row>
    <row r="13" spans="2:10" x14ac:dyDescent="0.25">
      <c r="C13" s="3">
        <v>0</v>
      </c>
      <c r="D13" s="3">
        <f t="shared" si="3"/>
        <v>-1.73</v>
      </c>
      <c r="E13" s="3">
        <f t="shared" si="4"/>
        <v>-6.3433333333333337</v>
      </c>
      <c r="F13" s="2">
        <f>(0.334*0.5^((C13+5)/6.31))*'EF Adjustment Table'!I$11</f>
        <v>0.29553755797563475</v>
      </c>
      <c r="G13" s="8">
        <f t="shared" si="5"/>
        <v>394.05007730084634</v>
      </c>
      <c r="H13" s="2">
        <f>IF(Calculator!$E$11='GWP reference values'!$C$6,G13*'GWP reference values'!$D$6/1000,IF(Calculator!$E$11='GWP reference values'!$C$7,G13*'GWP reference values'!$D$7/1000,IF(Calculator!$E$11='GWP reference values'!$C$8,G13*'GWP reference values'!$D$8/1000,"Error")))</f>
        <v>11.033402164423698</v>
      </c>
      <c r="I13" s="2">
        <f t="shared" si="8"/>
        <v>4.6900688310903647</v>
      </c>
      <c r="J13" s="3">
        <f t="shared" si="9"/>
        <v>0</v>
      </c>
    </row>
    <row r="14" spans="2:10" x14ac:dyDescent="0.25">
      <c r="C14" s="3">
        <v>1</v>
      </c>
      <c r="D14" s="3">
        <f t="shared" si="3"/>
        <v>-1.5958999999999999</v>
      </c>
      <c r="E14" s="3">
        <f t="shared" si="4"/>
        <v>-5.8516333333333321</v>
      </c>
      <c r="F14" s="2">
        <f>(0.334*0.5^((C14+5)/6.31))*'EF Adjustment Table'!I$11</f>
        <v>0.26479261375889396</v>
      </c>
      <c r="G14" s="8">
        <f t="shared" si="5"/>
        <v>353.05681834519191</v>
      </c>
      <c r="H14" s="2">
        <f>IF(Calculator!$E$11='GWP reference values'!$C$6,G14*'GWP reference values'!$D$6/1000,IF(Calculator!$E$11='GWP reference values'!$C$7,G14*'GWP reference values'!$D$7/1000,IF(Calculator!$E$11='GWP reference values'!$C$8,G14*'GWP reference values'!$D$8/1000,"Error")))</f>
        <v>9.8855909136653732</v>
      </c>
      <c r="I14" s="2">
        <f t="shared" si="8"/>
        <v>4.0339575803320411</v>
      </c>
      <c r="J14" s="3">
        <f t="shared" si="9"/>
        <v>1</v>
      </c>
    </row>
    <row r="15" spans="2:10" x14ac:dyDescent="0.25">
      <c r="C15" s="3">
        <v>2</v>
      </c>
      <c r="D15" s="3">
        <f t="shared" si="3"/>
        <v>-1.4618</v>
      </c>
      <c r="E15" s="3">
        <f t="shared" si="4"/>
        <v>-5.3599333333333332</v>
      </c>
      <c r="F15" s="2">
        <f>(0.334*0.5^((C15+5)/6.31))*'EF Adjustment Table'!I$11</f>
        <v>0.23724608398857844</v>
      </c>
      <c r="G15" s="8">
        <f t="shared" si="5"/>
        <v>316.32811198477128</v>
      </c>
      <c r="H15" s="2">
        <f>IF(Calculator!$E$11='GWP reference values'!$C$6,G15*'GWP reference values'!$D$6/1000,IF(Calculator!$E$11='GWP reference values'!$C$7,G15*'GWP reference values'!$D$7/1000,IF(Calculator!$E$11='GWP reference values'!$C$8,G15*'GWP reference values'!$D$8/1000,"Error")))</f>
        <v>8.8571871355735965</v>
      </c>
      <c r="I15" s="2">
        <f t="shared" si="8"/>
        <v>3.4972538022402633</v>
      </c>
      <c r="J15" s="3">
        <f t="shared" si="9"/>
        <v>2</v>
      </c>
    </row>
    <row r="16" spans="2:10" x14ac:dyDescent="0.25">
      <c r="C16" s="3">
        <v>3</v>
      </c>
      <c r="D16" s="3">
        <f t="shared" si="3"/>
        <v>-1.3277000000000001</v>
      </c>
      <c r="E16" s="3">
        <f t="shared" si="4"/>
        <v>-4.8682333333333343</v>
      </c>
      <c r="F16" s="2">
        <f>(0.334*0.5^((C16+5)/6.31))*'EF Adjustment Table'!I$11</f>
        <v>0.21256523574772504</v>
      </c>
      <c r="G16" s="8">
        <f t="shared" si="5"/>
        <v>283.42031433030007</v>
      </c>
      <c r="H16" s="2">
        <f>IF(Calculator!$E$11='GWP reference values'!$C$6,G16*'GWP reference values'!$D$6/1000,IF(Calculator!$E$11='GWP reference values'!$C$7,G16*'GWP reference values'!$D$7/1000,IF(Calculator!$E$11='GWP reference values'!$C$8,G16*'GWP reference values'!$D$8/1000,"Error")))</f>
        <v>7.9357688012484022</v>
      </c>
      <c r="I16" s="2">
        <f t="shared" si="8"/>
        <v>3.0675354679150679</v>
      </c>
      <c r="J16" s="3">
        <f t="shared" si="9"/>
        <v>3</v>
      </c>
    </row>
    <row r="17" spans="2:10" x14ac:dyDescent="0.25">
      <c r="C17" s="3">
        <v>4</v>
      </c>
      <c r="D17" s="3">
        <f t="shared" si="3"/>
        <v>-1.1936</v>
      </c>
      <c r="E17" s="3">
        <f t="shared" si="4"/>
        <v>-4.3765333333333327</v>
      </c>
      <c r="F17" s="2">
        <f>(0.334*0.5^((C17+5)/6.31))*'EF Adjustment Table'!I$11</f>
        <v>0.19045195051843805</v>
      </c>
      <c r="G17" s="8">
        <f t="shared" si="5"/>
        <v>253.93593402458407</v>
      </c>
      <c r="H17" s="2">
        <f>IF(Calculator!$E$11='GWP reference values'!$C$6,G17*'GWP reference values'!$D$6/1000,IF(Calculator!$E$11='GWP reference values'!$C$7,G17*'GWP reference values'!$D$7/1000,IF(Calculator!$E$11='GWP reference values'!$C$8,G17*'GWP reference values'!$D$8/1000,"Error")))</f>
        <v>7.1102061526883533</v>
      </c>
      <c r="I17" s="2">
        <f t="shared" si="8"/>
        <v>2.7336728193550206</v>
      </c>
      <c r="J17" s="3">
        <f t="shared" si="9"/>
        <v>4</v>
      </c>
    </row>
    <row r="18" spans="2:10" x14ac:dyDescent="0.25">
      <c r="C18" s="3">
        <v>5</v>
      </c>
      <c r="D18" s="3">
        <f t="shared" si="3"/>
        <v>-1.0594999999999999</v>
      </c>
      <c r="E18" s="3">
        <f t="shared" si="4"/>
        <v>-3.8848333333333329</v>
      </c>
      <c r="F18" s="2">
        <f>(0.334*0.5^((C18+5)/6.31))*'EF Adjustment Table'!I$11</f>
        <v>0.17063912322580141</v>
      </c>
      <c r="G18" s="8">
        <f t="shared" si="5"/>
        <v>227.5188309677352</v>
      </c>
      <c r="H18" s="2">
        <f>IF(Calculator!$E$11='GWP reference values'!$C$6,G18*'GWP reference values'!$D$6/1000,IF(Calculator!$E$11='GWP reference values'!$C$7,G18*'GWP reference values'!$D$7/1000,IF(Calculator!$E$11='GWP reference values'!$C$8,G18*'GWP reference values'!$D$8/1000,"Error")))</f>
        <v>6.3705272670965858</v>
      </c>
      <c r="I18" s="2">
        <f t="shared" si="8"/>
        <v>2.4856939337632529</v>
      </c>
      <c r="J18" s="3">
        <f t="shared" si="9"/>
        <v>5</v>
      </c>
    </row>
    <row r="19" spans="2:10" x14ac:dyDescent="0.25">
      <c r="C19" s="3">
        <v>6</v>
      </c>
      <c r="D19" s="3">
        <f t="shared" si="3"/>
        <v>-0.9254</v>
      </c>
      <c r="E19" s="3">
        <f t="shared" si="4"/>
        <v>-3.3931333333333331</v>
      </c>
      <c r="F19" s="2">
        <f>(0.334*0.5^((C19+5)/6.31))*'EF Adjustment Table'!I$11</f>
        <v>0.15288743589134982</v>
      </c>
      <c r="G19" s="8">
        <f t="shared" si="5"/>
        <v>203.84991452179975</v>
      </c>
      <c r="H19" s="2">
        <f>IF(Calculator!$E$11='GWP reference values'!$C$6,G19*'GWP reference values'!$D$6/1000,IF(Calculator!$E$11='GWP reference values'!$C$7,G19*'GWP reference values'!$D$7/1000,IF(Calculator!$E$11='GWP reference values'!$C$8,G19*'GWP reference values'!$D$8/1000,"Error")))</f>
        <v>5.7077976066103933</v>
      </c>
      <c r="I19" s="2">
        <f t="shared" si="8"/>
        <v>2.3146642732770601</v>
      </c>
      <c r="J19" s="3">
        <f t="shared" si="9"/>
        <v>6</v>
      </c>
    </row>
    <row r="20" spans="2:10" x14ac:dyDescent="0.25">
      <c r="C20" s="3">
        <v>7</v>
      </c>
      <c r="D20" s="3">
        <f t="shared" si="3"/>
        <v>-0.7913</v>
      </c>
      <c r="E20" s="3">
        <f t="shared" si="4"/>
        <v>-2.9014333333333333</v>
      </c>
      <c r="F20" s="2">
        <f>(0.334*0.5^((C20+5)/6.31))*'EF Adjustment Table'!I$11</f>
        <v>0.13698246692524768</v>
      </c>
      <c r="G20" s="8">
        <f t="shared" si="5"/>
        <v>182.64328923366358</v>
      </c>
      <c r="H20" s="2">
        <f>IF(Calculator!$E$11='GWP reference values'!$C$6,G20*'GWP reference values'!$D$6/1000,IF(Calculator!$E$11='GWP reference values'!$C$7,G20*'GWP reference values'!$D$7/1000,IF(Calculator!$E$11='GWP reference values'!$C$8,G20*'GWP reference values'!$D$8/1000,"Error")))</f>
        <v>5.1140120985425801</v>
      </c>
      <c r="I20" s="2">
        <f t="shared" si="8"/>
        <v>2.2125787652092468</v>
      </c>
      <c r="J20" s="3">
        <f t="shared" si="9"/>
        <v>7</v>
      </c>
    </row>
    <row r="21" spans="2:10" x14ac:dyDescent="0.25">
      <c r="C21" s="3">
        <v>8</v>
      </c>
      <c r="D21" s="3">
        <f t="shared" si="3"/>
        <v>-0.65720000000000001</v>
      </c>
      <c r="E21" s="3">
        <f t="shared" si="4"/>
        <v>-2.4097333333333331</v>
      </c>
      <c r="F21" s="2">
        <f>(0.334*0.5^((C21+5)/6.31))*'EF Adjustment Table'!I$11</f>
        <v>0.12273210114048512</v>
      </c>
      <c r="G21" s="8">
        <f t="shared" si="5"/>
        <v>163.64280152064683</v>
      </c>
      <c r="H21" s="2">
        <f>IF(Calculator!$E$11='GWP reference values'!$C$6,G21*'GWP reference values'!$D$6/1000,IF(Calculator!$E$11='GWP reference values'!$C$7,G21*'GWP reference values'!$D$7/1000,IF(Calculator!$E$11='GWP reference values'!$C$8,G21*'GWP reference values'!$D$8/1000,"Error")))</f>
        <v>4.5819984425781115</v>
      </c>
      <c r="I21" s="2">
        <f t="shared" si="8"/>
        <v>2.1722651092447784</v>
      </c>
      <c r="J21" s="3">
        <f t="shared" si="9"/>
        <v>8</v>
      </c>
    </row>
    <row r="22" spans="2:10" x14ac:dyDescent="0.25">
      <c r="C22" s="3">
        <v>9</v>
      </c>
      <c r="D22" s="3">
        <f t="shared" si="3"/>
        <v>-0.5230999999999999</v>
      </c>
      <c r="E22" s="3">
        <f t="shared" si="4"/>
        <v>-1.918033333333333</v>
      </c>
      <c r="F22" s="2">
        <f>(0.334*0.5^((C22+5)/6.31))*'EF Adjustment Table'!I$11</f>
        <v>0.10996420920480535</v>
      </c>
      <c r="G22" s="8">
        <f t="shared" si="5"/>
        <v>146.61894560640712</v>
      </c>
      <c r="H22" s="2">
        <f>IF(Calculator!$E$11='GWP reference values'!$C$6,G22*'GWP reference values'!$D$6/1000,IF(Calculator!$E$11='GWP reference values'!$C$7,G22*'GWP reference values'!$D$7/1000,IF(Calculator!$E$11='GWP reference values'!$C$8,G22*'GWP reference values'!$D$8/1000,"Error")))</f>
        <v>4.1053304769793995</v>
      </c>
      <c r="I22" s="2">
        <f t="shared" si="8"/>
        <v>2.1872971436460666</v>
      </c>
      <c r="J22" s="3">
        <f t="shared" si="9"/>
        <v>9</v>
      </c>
    </row>
    <row r="23" spans="2:10" x14ac:dyDescent="0.25">
      <c r="C23" s="3">
        <v>10</v>
      </c>
      <c r="D23" s="3">
        <f t="shared" si="3"/>
        <v>-0.38900000000000001</v>
      </c>
      <c r="E23" s="3">
        <f t="shared" si="4"/>
        <v>-1.4263333333333335</v>
      </c>
      <c r="F23" s="2">
        <f>(0.334*0.5^((C23+5)/6.31))*'EF Adjustment Table'!I$11</f>
        <v>9.8524568500599208E-2</v>
      </c>
      <c r="G23" s="8">
        <f t="shared" si="5"/>
        <v>131.36609133413228</v>
      </c>
      <c r="H23" s="2">
        <f>IF(Calculator!$E$11='GWP reference values'!$C$6,G23*'GWP reference values'!$D$6/1000,IF(Calculator!$E$11='GWP reference values'!$C$7,G23*'GWP reference values'!$D$7/1000,IF(Calculator!$E$11='GWP reference values'!$C$8,G23*'GWP reference values'!$D$8/1000,"Error")))</f>
        <v>3.6782505573557036</v>
      </c>
      <c r="I23" s="2">
        <f t="shared" si="8"/>
        <v>2.2519172240223702</v>
      </c>
      <c r="J23" s="3">
        <f t="shared" si="9"/>
        <v>10</v>
      </c>
    </row>
    <row r="24" spans="2:10" x14ac:dyDescent="0.25">
      <c r="C24" s="3">
        <v>11</v>
      </c>
      <c r="D24" s="3">
        <f t="shared" si="3"/>
        <v>-0.25490000000000013</v>
      </c>
      <c r="E24" s="3">
        <f t="shared" si="4"/>
        <v>-0.93463333333333376</v>
      </c>
      <c r="F24" s="2">
        <f>(0.334*0.5^((C24+5)/6.31))*'EF Adjustment Table'!I$11</f>
        <v>8.8275000278955046E-2</v>
      </c>
      <c r="G24" s="8">
        <f t="shared" si="5"/>
        <v>117.70000037194006</v>
      </c>
      <c r="H24" s="2">
        <f>IF(Calculator!$E$11='GWP reference values'!$C$6,G24*'GWP reference values'!$D$6/1000,IF(Calculator!$E$11='GWP reference values'!$C$7,G24*'GWP reference values'!$D$7/1000,IF(Calculator!$E$11='GWP reference values'!$C$8,G24*'GWP reference values'!$D$8/1000,"Error")))</f>
        <v>3.2956000104143217</v>
      </c>
      <c r="I24" s="2">
        <f t="shared" si="8"/>
        <v>2.3609666770809881</v>
      </c>
      <c r="J24" s="3">
        <f t="shared" si="9"/>
        <v>11</v>
      </c>
    </row>
    <row r="25" spans="2:10" x14ac:dyDescent="0.25">
      <c r="C25" s="3">
        <v>12</v>
      </c>
      <c r="D25" s="3">
        <f t="shared" ref="D25:D26" si="10">0.1341*C25-1.73</f>
        <v>-0.12080000000000002</v>
      </c>
      <c r="E25" s="3">
        <f t="shared" ref="E25:E26" si="11">D25/12*44</f>
        <v>-0.4429333333333334</v>
      </c>
      <c r="F25" s="2">
        <f>(0.334*0.5^((C25+5)/6.31))*'EF Adjustment Table'!I$11</f>
        <v>7.9091700606657558E-2</v>
      </c>
      <c r="G25" s="8">
        <f t="shared" ref="G25:G26" si="12">F25*1000*16/12</f>
        <v>105.45560080887674</v>
      </c>
      <c r="H25" s="2">
        <f>IF(Calculator!$E$11='GWP reference values'!$C$6,G25*'GWP reference values'!$D$6/1000,IF(Calculator!$E$11='GWP reference values'!$C$7,G25*'GWP reference values'!$D$7/1000,IF(Calculator!$E$11='GWP reference values'!$C$8,G25*'GWP reference values'!$D$8/1000,"Error")))</f>
        <v>2.9527568226485488</v>
      </c>
      <c r="I25" s="2">
        <f t="shared" si="8"/>
        <v>2.5098234893152154</v>
      </c>
      <c r="J25" s="3">
        <f t="shared" si="9"/>
        <v>12</v>
      </c>
    </row>
    <row r="26" spans="2:10" x14ac:dyDescent="0.25">
      <c r="C26" s="3">
        <v>13</v>
      </c>
      <c r="D26" s="3">
        <f t="shared" si="10"/>
        <v>1.330000000000009E-2</v>
      </c>
      <c r="E26" s="3">
        <f t="shared" si="11"/>
        <v>4.8766666666666993E-2</v>
      </c>
      <c r="F26" s="2">
        <f>(0.334*0.5^((C26+5)/6.31))*'EF Adjustment Table'!I$11</f>
        <v>7.0863744945741783E-2</v>
      </c>
      <c r="G26" s="8">
        <f t="shared" si="12"/>
        <v>94.484993260989043</v>
      </c>
      <c r="H26" s="2">
        <f>IF(Calculator!$E$11='GWP reference values'!$C$6,G26*'GWP reference values'!$D$6/1000,IF(Calculator!$E$11='GWP reference values'!$C$7,G26*'GWP reference values'!$D$7/1000,IF(Calculator!$E$11='GWP reference values'!$C$8,G26*'GWP reference values'!$D$8/1000,"Error")))</f>
        <v>2.6455798113076932</v>
      </c>
      <c r="I26" s="2">
        <f t="shared" si="8"/>
        <v>2.69434647797436</v>
      </c>
      <c r="J26" s="3">
        <f t="shared" si="9"/>
        <v>13</v>
      </c>
    </row>
    <row r="27" spans="2:10" x14ac:dyDescent="0.25">
      <c r="C27" s="3">
        <v>14</v>
      </c>
      <c r="D27" s="3">
        <f t="shared" si="3"/>
        <v>0.14739999999999998</v>
      </c>
      <c r="E27" s="3">
        <f t="shared" si="4"/>
        <v>0.54046666666666665</v>
      </c>
      <c r="F27" s="2">
        <f>(0.334*0.5^((C27+5)/6.31))*'EF Adjustment Table'!I$11</f>
        <v>6.3491748302507034E-2</v>
      </c>
      <c r="G27" s="8">
        <f t="shared" si="5"/>
        <v>84.655664403342712</v>
      </c>
      <c r="H27" s="2">
        <f>IF(Calculator!$E$11='GWP reference values'!$C$6,G27*'GWP reference values'!$D$6/1000,IF(Calculator!$E$11='GWP reference values'!$C$7,G27*'GWP reference values'!$D$7/1000,IF(Calculator!$E$11='GWP reference values'!$C$8,G27*'GWP reference values'!$D$8/1000,"Error")))</f>
        <v>2.3703586032935959</v>
      </c>
      <c r="I27" s="2">
        <f t="shared" si="8"/>
        <v>2.9108252699602626</v>
      </c>
      <c r="J27" s="3">
        <f t="shared" si="9"/>
        <v>14</v>
      </c>
    </row>
    <row r="28" spans="2:10" x14ac:dyDescent="0.25">
      <c r="B28" s="1"/>
      <c r="C28" s="3">
        <v>15</v>
      </c>
      <c r="D28" s="3">
        <f t="shared" ref="D28:D30" si="13">0.1341*C28-1.73</f>
        <v>0.28149999999999986</v>
      </c>
      <c r="E28" s="3">
        <f t="shared" ref="E28:E30" si="14">D28/12*44</f>
        <v>1.032166666666666</v>
      </c>
      <c r="F28" s="2">
        <f>(0.334*0.5^((C28+5)/6.31))*'EF Adjustment Table'!I$11</f>
        <v>5.6886664762008758E-2</v>
      </c>
      <c r="G28" s="8">
        <f t="shared" ref="G28:G30" si="15">F28*1000*16/12</f>
        <v>75.848886349345008</v>
      </c>
      <c r="H28" s="2">
        <f>IF(Calculator!$E$11='GWP reference values'!$C$6,G28*'GWP reference values'!$D$6/1000,IF(Calculator!$E$11='GWP reference values'!$C$7,G28*'GWP reference values'!$D$7/1000,IF(Calculator!$E$11='GWP reference values'!$C$8,G28*'GWP reference values'!$D$8/1000,"Error")))</f>
        <v>2.1237688177816603</v>
      </c>
      <c r="I28" s="2">
        <f t="shared" si="8"/>
        <v>3.1559354844483263</v>
      </c>
      <c r="J28" s="3">
        <f t="shared" si="9"/>
        <v>15</v>
      </c>
    </row>
    <row r="29" spans="2:10" x14ac:dyDescent="0.25">
      <c r="C29" s="3">
        <v>16</v>
      </c>
      <c r="D29" s="3">
        <f t="shared" si="13"/>
        <v>0.41559999999999997</v>
      </c>
      <c r="E29" s="3">
        <f t="shared" si="14"/>
        <v>1.5238666666666665</v>
      </c>
      <c r="F29" s="2">
        <f>(0.334*0.5^((C29+5)/6.31))*'EF Adjustment Table'!I$11</f>
        <v>5.0968711907676163E-2</v>
      </c>
      <c r="G29" s="8">
        <f t="shared" si="15"/>
        <v>67.958282543568217</v>
      </c>
      <c r="H29" s="2">
        <f>IF(Calculator!$E$11='GWP reference values'!$C$6,G29*'GWP reference values'!$D$6/1000,IF(Calculator!$E$11='GWP reference values'!$C$7,G29*'GWP reference values'!$D$7/1000,IF(Calculator!$E$11='GWP reference values'!$C$8,G29*'GWP reference values'!$D$8/1000,"Error")))</f>
        <v>1.9028319112199101</v>
      </c>
      <c r="I29" s="2">
        <f t="shared" si="8"/>
        <v>3.4266985778865768</v>
      </c>
      <c r="J29" s="3">
        <f t="shared" si="9"/>
        <v>16</v>
      </c>
    </row>
    <row r="30" spans="2:10" x14ac:dyDescent="0.25">
      <c r="C30" s="3">
        <v>17</v>
      </c>
      <c r="D30" s="3">
        <f t="shared" si="13"/>
        <v>0.54970000000000008</v>
      </c>
      <c r="E30" s="3">
        <f t="shared" si="14"/>
        <v>2.015566666666667</v>
      </c>
      <c r="F30" s="2">
        <f>(0.334*0.5^((C30+5)/6.31))*'EF Adjustment Table'!I$11</f>
        <v>4.5666407134183275E-2</v>
      </c>
      <c r="G30" s="8">
        <f t="shared" si="15"/>
        <v>60.888542845577696</v>
      </c>
      <c r="H30" s="2">
        <f>IF(Calculator!$E$11='GWP reference values'!$C$6,G30*'GWP reference values'!$D$6/1000,IF(Calculator!$E$11='GWP reference values'!$C$7,G30*'GWP reference values'!$D$7/1000,IF(Calculator!$E$11='GWP reference values'!$C$8,G30*'GWP reference values'!$D$8/1000,"Error")))</f>
        <v>1.7048791996761754</v>
      </c>
      <c r="I30" s="2">
        <f t="shared" si="8"/>
        <v>3.7204458663428426</v>
      </c>
      <c r="J30" s="3">
        <f t="shared" si="9"/>
        <v>17</v>
      </c>
    </row>
    <row r="31" spans="2:10" x14ac:dyDescent="0.25">
      <c r="C31" s="3">
        <v>18</v>
      </c>
      <c r="D31" s="3">
        <f t="shared" si="0"/>
        <v>0.68380000000000019</v>
      </c>
      <c r="E31" s="3">
        <f t="shared" si="1"/>
        <v>2.5072666666666676</v>
      </c>
      <c r="F31" s="2">
        <f>(0.334*0.5^((C31+5)/6.31))*'EF Adjustment Table'!I$11</f>
        <v>4.0915704213253044E-2</v>
      </c>
      <c r="G31" s="8">
        <f t="shared" si="2"/>
        <v>54.554272284337394</v>
      </c>
      <c r="H31" s="2">
        <f>IF(Calculator!$E$11='GWP reference values'!$C$6,G31*'GWP reference values'!$D$6/1000,IF(Calculator!$E$11='GWP reference values'!$C$7,G31*'GWP reference values'!$D$7/1000,IF(Calculator!$E$11='GWP reference values'!$C$8,G31*'GWP reference values'!$D$8/1000,"Error")))</f>
        <v>1.527519623961447</v>
      </c>
      <c r="I31" s="2">
        <f t="shared" si="8"/>
        <v>4.0347862906281149</v>
      </c>
      <c r="J31" s="3">
        <f t="shared" si="9"/>
        <v>18</v>
      </c>
    </row>
    <row r="32" spans="2:10" x14ac:dyDescent="0.25">
      <c r="C32" s="3">
        <v>19</v>
      </c>
      <c r="D32" s="3">
        <f t="shared" ref="D32" si="16">0.1341*C32-1.73</f>
        <v>0.81789999999999985</v>
      </c>
      <c r="E32" s="3">
        <f t="shared" ref="E32" si="17">D32/12*44</f>
        <v>2.9989666666666661</v>
      </c>
      <c r="F32" s="2">
        <f>(0.334*0.5^((C32+5)/6.31))*'EF Adjustment Table'!I$11</f>
        <v>3.6659219683023422E-2</v>
      </c>
      <c r="G32" s="8">
        <f t="shared" ref="G32" si="18">F32*1000*16/12</f>
        <v>48.878959577364562</v>
      </c>
      <c r="H32" s="2">
        <f>IF(Calculator!$E$11='GWP reference values'!$C$6,G32*'GWP reference values'!$D$6/1000,IF(Calculator!$E$11='GWP reference values'!$C$7,G32*'GWP reference values'!$D$7/1000,IF(Calculator!$E$11='GWP reference values'!$C$8,G32*'GWP reference values'!$D$8/1000,"Error")))</f>
        <v>1.3686108681662077</v>
      </c>
      <c r="I32" s="2">
        <f t="shared" si="8"/>
        <v>4.3675775348328738</v>
      </c>
      <c r="J32" s="3">
        <f t="shared" si="9"/>
        <v>19</v>
      </c>
    </row>
    <row r="33" spans="2:10" x14ac:dyDescent="0.25">
      <c r="B33" s="4"/>
      <c r="C33" s="14">
        <v>20</v>
      </c>
      <c r="D33" s="14">
        <f t="shared" si="0"/>
        <v>0.95199999999999996</v>
      </c>
      <c r="E33" s="14">
        <f t="shared" si="1"/>
        <v>3.4906666666666664</v>
      </c>
      <c r="F33" s="15">
        <f>(0.334*0.5^((C33+5)/6.31))*'EF Adjustment Table'!I$11</f>
        <v>3.2845539716578276E-2</v>
      </c>
      <c r="G33" s="16">
        <f t="shared" si="2"/>
        <v>43.794052955437699</v>
      </c>
      <c r="H33" s="15">
        <f>IF(Calculator!$E$11='GWP reference values'!$C$6,G33*'GWP reference values'!$D$6/1000,IF(Calculator!$E$11='GWP reference values'!$C$7,G33*'GWP reference values'!$D$7/1000,IF(Calculator!$E$11='GWP reference values'!$C$8,G33*'GWP reference values'!$D$8/1000,"Error")))</f>
        <v>1.2262334827522556</v>
      </c>
      <c r="I33" s="15">
        <f t="shared" si="8"/>
        <v>4.7169001494189224</v>
      </c>
      <c r="J33" s="14">
        <f t="shared" si="9"/>
        <v>20</v>
      </c>
    </row>
    <row r="35" spans="2:10" x14ac:dyDescent="0.25">
      <c r="B35" t="s">
        <v>256</v>
      </c>
    </row>
  </sheetData>
  <pageMargins left="0.7" right="0.7" top="0.75" bottom="0.75" header="0.3" footer="0.3"/>
  <pageSetup paperSize="9" orientation="portrait" horizontalDpi="360" verticalDpi="36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J55"/>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257</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t="s">
        <v>69</v>
      </c>
      <c r="I6" s="4" t="s">
        <v>69</v>
      </c>
      <c r="J6" s="4" t="s">
        <v>165</v>
      </c>
    </row>
    <row r="7" spans="2:10" x14ac:dyDescent="0.25">
      <c r="B7" s="9" t="s">
        <v>248</v>
      </c>
      <c r="C7" s="10">
        <f>'EF Adjustment Table'!$D$12</f>
        <v>12.961833096061286</v>
      </c>
      <c r="D7" s="10">
        <f>0.1341*C7-1.73</f>
        <v>8.18181818181829E-3</v>
      </c>
      <c r="E7" s="10">
        <f>D7/12*44</f>
        <v>3.0000000000000398E-2</v>
      </c>
      <c r="F7" s="11">
        <f>(0.334*0.5^((C7+5)/6.31))*'EF Adjustment Table'!I$12</f>
        <v>4.63125E-2</v>
      </c>
      <c r="G7" s="12">
        <f>F7*1000*16/12</f>
        <v>61.75</v>
      </c>
      <c r="H7" s="15">
        <f>IF(Calculator!$E$11='GWP reference values'!$C$6,G7*'GWP reference values'!$D$6/1000,IF(Calculator!$E$11='GWP reference values'!$C$7,G7*'GWP reference values'!$D$7/1000,IF(Calculator!$E$11='GWP reference values'!$C$8,G7*'GWP reference values'!$D$8/1000,"Error")))</f>
        <v>1.7290000000000001</v>
      </c>
      <c r="I7" s="15">
        <f>SUM(H7,E7)</f>
        <v>1.7590000000000006</v>
      </c>
      <c r="J7" s="14">
        <f>C7</f>
        <v>12.961833096061286</v>
      </c>
    </row>
    <row r="8" spans="2:10" x14ac:dyDescent="0.25">
      <c r="B8" s="1" t="s">
        <v>249</v>
      </c>
      <c r="C8" s="3">
        <v>5</v>
      </c>
      <c r="D8" s="3">
        <f t="shared" ref="D8:D17" si="0">0.1341*C8-1.73</f>
        <v>-1.0594999999999999</v>
      </c>
      <c r="E8" s="3">
        <f t="shared" ref="E8:E17" si="1">D8/12*44</f>
        <v>-3.8848333333333329</v>
      </c>
      <c r="F8" s="2">
        <f>(0.334*0.5^((C8+5)/6.31))*'EF Adjustment Table'!I$12</f>
        <v>0.11105341423740832</v>
      </c>
      <c r="G8" s="8">
        <f t="shared" ref="G8:G17" si="2">F8*1000*16/12</f>
        <v>148.07121898321108</v>
      </c>
      <c r="H8" s="66">
        <f>IF(Calculator!$E$11='GWP reference values'!$C$6,G8*'GWP reference values'!$D$6/1000,IF(Calculator!$E$11='GWP reference values'!$C$7,G8*'GWP reference values'!$D$7/1000,IF(Calculator!$E$11='GWP reference values'!$C$8,G8*'GWP reference values'!$D$8/1000,"Error")))</f>
        <v>4.1459941315299105</v>
      </c>
      <c r="I8" s="66">
        <f>SUM(H8,E8)</f>
        <v>0.26116079819657756</v>
      </c>
      <c r="J8" s="67">
        <f>C8</f>
        <v>5</v>
      </c>
    </row>
    <row r="9" spans="2:10" x14ac:dyDescent="0.25">
      <c r="C9" s="3">
        <v>6</v>
      </c>
      <c r="D9" s="3">
        <f t="shared" ref="D9:D14" si="3">0.1341*C9-1.73</f>
        <v>-0.9254</v>
      </c>
      <c r="E9" s="3">
        <f t="shared" ref="E9:E14" si="4">D9/12*44</f>
        <v>-3.3931333333333331</v>
      </c>
      <c r="F9" s="2">
        <f>(0.334*0.5^((C9+5)/6.31))*'EF Adjustment Table'!I$12</f>
        <v>9.9500462899530573E-2</v>
      </c>
      <c r="G9" s="8">
        <f t="shared" ref="G9:G14" si="5">F9*1000*16/12</f>
        <v>132.66728386604078</v>
      </c>
      <c r="H9" s="2">
        <f>IF(Calculator!$E$11='GWP reference values'!$C$6,G9*'GWP reference values'!$D$6/1000,IF(Calculator!$E$11='GWP reference values'!$C$7,G9*'GWP reference values'!$D$7/1000,IF(Calculator!$E$11='GWP reference values'!$C$8,G9*'GWP reference values'!$D$8/1000,"Error")))</f>
        <v>3.7146839482491418</v>
      </c>
      <c r="I9" s="2">
        <f t="shared" ref="I9:I11" si="6">SUM(H9,E9)</f>
        <v>0.32155061491580872</v>
      </c>
      <c r="J9" s="3">
        <f t="shared" ref="J9:J11" si="7">C9</f>
        <v>6</v>
      </c>
    </row>
    <row r="10" spans="2:10" x14ac:dyDescent="0.25">
      <c r="C10" s="3">
        <v>7</v>
      </c>
      <c r="D10" s="3">
        <f t="shared" si="3"/>
        <v>-0.7913</v>
      </c>
      <c r="E10" s="3">
        <f t="shared" si="4"/>
        <v>-2.9014333333333333</v>
      </c>
      <c r="F10" s="2">
        <f>(0.334*0.5^((C10+5)/6.31))*'EF Adjustment Table'!I$12</f>
        <v>8.914937181540461E-2</v>
      </c>
      <c r="G10" s="8">
        <f t="shared" si="5"/>
        <v>118.86582908720614</v>
      </c>
      <c r="H10" s="2">
        <f>IF(Calculator!$E$11='GWP reference values'!$C$6,G10*'GWP reference values'!$D$6/1000,IF(Calculator!$E$11='GWP reference values'!$C$7,G10*'GWP reference values'!$D$7/1000,IF(Calculator!$E$11='GWP reference values'!$C$8,G10*'GWP reference values'!$D$8/1000,"Error")))</f>
        <v>3.3282432144417715</v>
      </c>
      <c r="I10" s="2">
        <f t="shared" si="6"/>
        <v>0.4268098811084382</v>
      </c>
      <c r="J10" s="3">
        <f t="shared" si="7"/>
        <v>7</v>
      </c>
    </row>
    <row r="11" spans="2:10" x14ac:dyDescent="0.25">
      <c r="C11" s="3">
        <v>8</v>
      </c>
      <c r="D11" s="3">
        <f t="shared" si="3"/>
        <v>-0.65720000000000001</v>
      </c>
      <c r="E11" s="3">
        <f t="shared" si="4"/>
        <v>-2.4097333333333331</v>
      </c>
      <c r="F11" s="2">
        <f>(0.334*0.5^((C11+5)/6.31))*'EF Adjustment Table'!I$12</f>
        <v>7.9875110763115417E-2</v>
      </c>
      <c r="G11" s="8">
        <f t="shared" si="5"/>
        <v>106.50014768415389</v>
      </c>
      <c r="H11" s="2">
        <f>IF(Calculator!$E$11='GWP reference values'!$C$6,G11*'GWP reference values'!$D$6/1000,IF(Calculator!$E$11='GWP reference values'!$C$7,G11*'GWP reference values'!$D$7/1000,IF(Calculator!$E$11='GWP reference values'!$C$8,G11*'GWP reference values'!$D$8/1000,"Error")))</f>
        <v>2.9820041351563087</v>
      </c>
      <c r="I11" s="2">
        <f t="shared" si="6"/>
        <v>0.57227080182297563</v>
      </c>
      <c r="J11" s="3">
        <f t="shared" si="7"/>
        <v>8</v>
      </c>
    </row>
    <row r="12" spans="2:10" x14ac:dyDescent="0.25">
      <c r="C12" s="3">
        <v>9</v>
      </c>
      <c r="D12" s="3">
        <f t="shared" si="3"/>
        <v>-0.5230999999999999</v>
      </c>
      <c r="E12" s="3">
        <f t="shared" si="4"/>
        <v>-1.918033333333333</v>
      </c>
      <c r="F12" s="2">
        <f>(0.334*0.5^((C12+5)/6.31))*'EF Adjustment Table'!I$12</f>
        <v>7.156565648752572E-2</v>
      </c>
      <c r="G12" s="8">
        <f t="shared" si="5"/>
        <v>95.420875316700958</v>
      </c>
      <c r="H12" s="2">
        <f>IF(Calculator!$E$11='GWP reference values'!$C$6,G12*'GWP reference values'!$D$6/1000,IF(Calculator!$E$11='GWP reference values'!$C$7,G12*'GWP reference values'!$D$7/1000,IF(Calculator!$E$11='GWP reference values'!$C$8,G12*'GWP reference values'!$D$8/1000,"Error")))</f>
        <v>2.6717845088676269</v>
      </c>
      <c r="I12" s="2">
        <f t="shared" ref="I12:I53" si="8">SUM(H12,E12)</f>
        <v>0.75375117553429383</v>
      </c>
      <c r="J12" s="3">
        <f t="shared" ref="J12:J53" si="9">C12</f>
        <v>9</v>
      </c>
    </row>
    <row r="13" spans="2:10" x14ac:dyDescent="0.25">
      <c r="C13" s="3">
        <v>10</v>
      </c>
      <c r="D13" s="3">
        <f t="shared" si="3"/>
        <v>-0.38900000000000001</v>
      </c>
      <c r="E13" s="3">
        <f t="shared" si="4"/>
        <v>-1.4263333333333335</v>
      </c>
      <c r="F13" s="2">
        <f>(0.334*0.5^((C13+5)/6.31))*'EF Adjustment Table'!I$12</f>
        <v>6.4120639577949681E-2</v>
      </c>
      <c r="G13" s="8">
        <f t="shared" si="5"/>
        <v>85.494186103932904</v>
      </c>
      <c r="H13" s="2">
        <f>IF(Calculator!$E$11='GWP reference values'!$C$6,G13*'GWP reference values'!$D$6/1000,IF(Calculator!$E$11='GWP reference values'!$C$7,G13*'GWP reference values'!$D$7/1000,IF(Calculator!$E$11='GWP reference values'!$C$8,G13*'GWP reference values'!$D$8/1000,"Error")))</f>
        <v>2.3938372109101214</v>
      </c>
      <c r="I13" s="2">
        <f t="shared" si="8"/>
        <v>0.96750387757678791</v>
      </c>
      <c r="J13" s="3">
        <f t="shared" si="9"/>
        <v>10</v>
      </c>
    </row>
    <row r="14" spans="2:10" x14ac:dyDescent="0.25">
      <c r="C14" s="3">
        <v>11</v>
      </c>
      <c r="D14" s="3">
        <f t="shared" si="3"/>
        <v>-0.25490000000000013</v>
      </c>
      <c r="E14" s="3">
        <f t="shared" si="4"/>
        <v>-0.93463333333333376</v>
      </c>
      <c r="F14" s="2">
        <f>(0.334*0.5^((C14+5)/6.31))*'EF Adjustment Table'!I$12</f>
        <v>5.7450132111929612E-2</v>
      </c>
      <c r="G14" s="8">
        <f t="shared" si="5"/>
        <v>76.600176149239488</v>
      </c>
      <c r="H14" s="2">
        <f>IF(Calculator!$E$11='GWP reference values'!$C$6,G14*'GWP reference values'!$D$6/1000,IF(Calculator!$E$11='GWP reference values'!$C$7,G14*'GWP reference values'!$D$7/1000,IF(Calculator!$E$11='GWP reference values'!$C$8,G14*'GWP reference values'!$D$8/1000,"Error")))</f>
        <v>2.1448049321787055</v>
      </c>
      <c r="I14" s="2">
        <f t="shared" si="8"/>
        <v>1.2101715988453718</v>
      </c>
      <c r="J14" s="3">
        <f t="shared" si="9"/>
        <v>11</v>
      </c>
    </row>
    <row r="15" spans="2:10" x14ac:dyDescent="0.25">
      <c r="C15" s="3">
        <v>12</v>
      </c>
      <c r="D15" s="3">
        <f t="shared" si="0"/>
        <v>-0.12080000000000002</v>
      </c>
      <c r="E15" s="3">
        <f t="shared" si="1"/>
        <v>-0.4429333333333334</v>
      </c>
      <c r="F15" s="2">
        <f>(0.334*0.5^((C15+5)/6.31))*'EF Adjustment Table'!I$12</f>
        <v>5.1473561421136793E-2</v>
      </c>
      <c r="G15" s="8">
        <f t="shared" si="2"/>
        <v>68.631415228182391</v>
      </c>
      <c r="H15" s="2">
        <f>IF(Calculator!$E$11='GWP reference values'!$C$6,G15*'GWP reference values'!$D$6/1000,IF(Calculator!$E$11='GWP reference values'!$C$7,G15*'GWP reference values'!$D$7/1000,IF(Calculator!$E$11='GWP reference values'!$C$8,G15*'GWP reference values'!$D$8/1000,"Error")))</f>
        <v>1.9216796263891069</v>
      </c>
      <c r="I15" s="2">
        <f t="shared" si="8"/>
        <v>1.4787462930557735</v>
      </c>
      <c r="J15" s="3">
        <f t="shared" si="9"/>
        <v>12</v>
      </c>
    </row>
    <row r="16" spans="2:10" x14ac:dyDescent="0.25">
      <c r="B16" s="1"/>
      <c r="C16" s="3">
        <v>13</v>
      </c>
      <c r="D16" s="3">
        <f t="shared" ref="D16" si="10">0.1341*C16-1.73</f>
        <v>1.330000000000009E-2</v>
      </c>
      <c r="E16" s="3">
        <f t="shared" ref="E16" si="11">D16/12*44</f>
        <v>4.8766666666666993E-2</v>
      </c>
      <c r="F16" s="2">
        <f>(0.334*0.5^((C16+5)/6.31))*'EF Adjustment Table'!I$12</f>
        <v>4.6118736858837675E-2</v>
      </c>
      <c r="G16" s="8">
        <f t="shared" ref="G16" si="12">F16*1000*16/12</f>
        <v>61.491649145116902</v>
      </c>
      <c r="H16" s="2">
        <f>IF(Calculator!$E$11='GWP reference values'!$C$6,G16*'GWP reference values'!$D$6/1000,IF(Calculator!$E$11='GWP reference values'!$C$7,G16*'GWP reference values'!$D$7/1000,IF(Calculator!$E$11='GWP reference values'!$C$8,G16*'GWP reference values'!$D$8/1000,"Error")))</f>
        <v>1.7217661760632732</v>
      </c>
      <c r="I16" s="2">
        <f t="shared" si="8"/>
        <v>1.7705328427299403</v>
      </c>
      <c r="J16" s="3">
        <f t="shared" si="9"/>
        <v>13</v>
      </c>
    </row>
    <row r="17" spans="3:10" x14ac:dyDescent="0.25">
      <c r="C17" s="3">
        <v>14</v>
      </c>
      <c r="D17" s="3">
        <f t="shared" si="0"/>
        <v>0.14739999999999998</v>
      </c>
      <c r="E17" s="3">
        <f t="shared" si="1"/>
        <v>0.54046666666666665</v>
      </c>
      <c r="F17" s="2">
        <f>(0.334*0.5^((C17+5)/6.31))*'EF Adjustment Table'!I$12</f>
        <v>4.1320977813307472E-2</v>
      </c>
      <c r="G17" s="8">
        <f t="shared" si="2"/>
        <v>55.09463708440996</v>
      </c>
      <c r="H17" s="2">
        <f>IF(Calculator!$E$11='GWP reference values'!$C$6,G17*'GWP reference values'!$D$6/1000,IF(Calculator!$E$11='GWP reference values'!$C$7,G17*'GWP reference values'!$D$7/1000,IF(Calculator!$E$11='GWP reference values'!$C$8,G17*'GWP reference values'!$D$8/1000,"Error")))</f>
        <v>1.542649838363479</v>
      </c>
      <c r="I17" s="2">
        <f t="shared" si="8"/>
        <v>2.0831165050301457</v>
      </c>
      <c r="J17" s="3">
        <f t="shared" si="9"/>
        <v>14</v>
      </c>
    </row>
    <row r="18" spans="3:10" x14ac:dyDescent="0.25">
      <c r="C18" s="3">
        <v>15</v>
      </c>
      <c r="D18" s="3">
        <f t="shared" ref="D18:D20" si="13">0.1341*C18-1.73</f>
        <v>0.28149999999999986</v>
      </c>
      <c r="E18" s="3">
        <f t="shared" ref="E18:E20" si="14">D18/12*44</f>
        <v>1.032166666666666</v>
      </c>
      <c r="F18" s="2">
        <f>(0.334*0.5^((C18+5)/6.31))*'EF Adjustment Table'!I$12</f>
        <v>3.7022332434515866E-2</v>
      </c>
      <c r="G18" s="8">
        <f t="shared" ref="G18:G20" si="15">F18*1000*16/12</f>
        <v>49.363109912687825</v>
      </c>
      <c r="H18" s="2">
        <f>IF(Calculator!$E$11='GWP reference values'!$C$6,G18*'GWP reference values'!$D$6/1000,IF(Calculator!$E$11='GWP reference values'!$C$7,G18*'GWP reference values'!$D$7/1000,IF(Calculator!$E$11='GWP reference values'!$C$8,G18*'GWP reference values'!$D$8/1000,"Error")))</f>
        <v>1.382167077555259</v>
      </c>
      <c r="I18" s="2">
        <f t="shared" si="8"/>
        <v>2.414333744221925</v>
      </c>
      <c r="J18" s="3">
        <f t="shared" si="9"/>
        <v>15</v>
      </c>
    </row>
    <row r="19" spans="3:10" x14ac:dyDescent="0.25">
      <c r="C19" s="3">
        <v>16</v>
      </c>
      <c r="D19" s="3">
        <f t="shared" si="13"/>
        <v>0.41559999999999997</v>
      </c>
      <c r="E19" s="3">
        <f t="shared" si="14"/>
        <v>1.5238666666666665</v>
      </c>
      <c r="F19" s="2">
        <f>(0.334*0.5^((C19+5)/6.31))*'EF Adjustment Table'!I$12</f>
        <v>3.3170877637130468E-2</v>
      </c>
      <c r="G19" s="8">
        <f t="shared" si="15"/>
        <v>44.227836849507291</v>
      </c>
      <c r="H19" s="2">
        <f>IF(Calculator!$E$11='GWP reference values'!$C$6,G19*'GWP reference values'!$D$6/1000,IF(Calculator!$E$11='GWP reference values'!$C$7,G19*'GWP reference values'!$D$7/1000,IF(Calculator!$E$11='GWP reference values'!$C$8,G19*'GWP reference values'!$D$8/1000,"Error")))</f>
        <v>1.238379431786204</v>
      </c>
      <c r="I19" s="2">
        <f t="shared" si="8"/>
        <v>2.7622460984528705</v>
      </c>
      <c r="J19" s="3">
        <f t="shared" si="9"/>
        <v>16</v>
      </c>
    </row>
    <row r="20" spans="3:10" x14ac:dyDescent="0.25">
      <c r="C20" s="3">
        <v>17</v>
      </c>
      <c r="D20" s="3">
        <f t="shared" si="13"/>
        <v>0.54970000000000008</v>
      </c>
      <c r="E20" s="3">
        <f t="shared" si="14"/>
        <v>2.015566666666667</v>
      </c>
      <c r="F20" s="2">
        <f>(0.334*0.5^((C20+5)/6.31))*'EF Adjustment Table'!I$12</f>
        <v>2.9720091924615406E-2</v>
      </c>
      <c r="G20" s="8">
        <f t="shared" si="15"/>
        <v>39.626789232820542</v>
      </c>
      <c r="H20" s="2">
        <f>IF(Calculator!$E$11='GWP reference values'!$C$6,G20*'GWP reference values'!$D$6/1000,IF(Calculator!$E$11='GWP reference values'!$C$7,G20*'GWP reference values'!$D$7/1000,IF(Calculator!$E$11='GWP reference values'!$C$8,G20*'GWP reference values'!$D$8/1000,"Error")))</f>
        <v>1.109550098518975</v>
      </c>
      <c r="I20" s="2">
        <f t="shared" si="8"/>
        <v>3.1251167651856422</v>
      </c>
      <c r="J20" s="3">
        <f t="shared" si="9"/>
        <v>17</v>
      </c>
    </row>
    <row r="21" spans="3:10" x14ac:dyDescent="0.25">
      <c r="C21" s="3">
        <v>18</v>
      </c>
      <c r="D21" s="3">
        <f t="shared" ref="D21:D53" si="16">0.1341*C21-1.73</f>
        <v>0.68380000000000019</v>
      </c>
      <c r="E21" s="3">
        <f t="shared" ref="E21:E53" si="17">D21/12*44</f>
        <v>2.5072666666666676</v>
      </c>
      <c r="F21" s="2">
        <f>(0.334*0.5^((C21+5)/6.31))*'EF Adjustment Table'!I$12</f>
        <v>2.6628293458804034E-2</v>
      </c>
      <c r="G21" s="8">
        <f t="shared" ref="G21:G53" si="18">F21*1000*16/12</f>
        <v>35.504391278405379</v>
      </c>
      <c r="H21" s="2">
        <f>IF(Calculator!$E$11='GWP reference values'!$C$6,G21*'GWP reference values'!$D$6/1000,IF(Calculator!$E$11='GWP reference values'!$C$7,G21*'GWP reference values'!$D$7/1000,IF(Calculator!$E$11='GWP reference values'!$C$8,G21*'GWP reference values'!$D$8/1000,"Error")))</f>
        <v>0.9941229557953507</v>
      </c>
      <c r="I21" s="2">
        <f t="shared" si="8"/>
        <v>3.5013896224620185</v>
      </c>
      <c r="J21" s="3">
        <f t="shared" si="9"/>
        <v>18</v>
      </c>
    </row>
    <row r="22" spans="3:10" x14ac:dyDescent="0.25">
      <c r="C22" s="3">
        <v>19</v>
      </c>
      <c r="D22" s="3">
        <f t="shared" si="16"/>
        <v>0.81789999999999985</v>
      </c>
      <c r="E22" s="3">
        <f t="shared" si="17"/>
        <v>2.9989666666666661</v>
      </c>
      <c r="F22" s="2">
        <f>(0.334*0.5^((C22+5)/6.31))*'EF Adjustment Table'!I$12</f>
        <v>2.385813658742111E-2</v>
      </c>
      <c r="G22" s="8">
        <f t="shared" si="18"/>
        <v>31.810848783228149</v>
      </c>
      <c r="H22" s="2">
        <f>IF(Calculator!$E$11='GWP reference values'!$C$6,G22*'GWP reference values'!$D$6/1000,IF(Calculator!$E$11='GWP reference values'!$C$7,G22*'GWP reference values'!$D$7/1000,IF(Calculator!$E$11='GWP reference values'!$C$8,G22*'GWP reference values'!$D$8/1000,"Error")))</f>
        <v>0.89070376593038814</v>
      </c>
      <c r="I22" s="2">
        <f t="shared" si="8"/>
        <v>3.8896704325970544</v>
      </c>
      <c r="J22" s="3">
        <f t="shared" si="9"/>
        <v>19</v>
      </c>
    </row>
    <row r="23" spans="3:10" x14ac:dyDescent="0.25">
      <c r="C23" s="3">
        <v>20</v>
      </c>
      <c r="D23" s="3">
        <f t="shared" si="16"/>
        <v>0.95199999999999996</v>
      </c>
      <c r="E23" s="3">
        <f t="shared" si="17"/>
        <v>3.4906666666666664</v>
      </c>
      <c r="F23" s="2">
        <f>(0.334*0.5^((C23+5)/6.31))*'EF Adjustment Table'!I$12</f>
        <v>2.1376160748140076E-2</v>
      </c>
      <c r="G23" s="8">
        <f t="shared" si="18"/>
        <v>28.50154766418677</v>
      </c>
      <c r="H23" s="2">
        <f>IF(Calculator!$E$11='GWP reference values'!$C$6,G23*'GWP reference values'!$D$6/1000,IF(Calculator!$E$11='GWP reference values'!$C$7,G23*'GWP reference values'!$D$7/1000,IF(Calculator!$E$11='GWP reference values'!$C$8,G23*'GWP reference values'!$D$8/1000,"Error")))</f>
        <v>0.79804333459722954</v>
      </c>
      <c r="I23" s="2">
        <f t="shared" si="8"/>
        <v>4.2887100012638957</v>
      </c>
      <c r="J23" s="3">
        <f t="shared" si="9"/>
        <v>20</v>
      </c>
    </row>
    <row r="24" spans="3:10" x14ac:dyDescent="0.25">
      <c r="C24" s="3">
        <v>21</v>
      </c>
      <c r="D24" s="3">
        <f t="shared" si="16"/>
        <v>1.0861000000000001</v>
      </c>
      <c r="E24" s="3">
        <f t="shared" si="17"/>
        <v>3.9823666666666671</v>
      </c>
      <c r="F24" s="2">
        <f>(0.334*0.5^((C24+5)/6.31))*'EF Adjustment Table'!I$12</f>
        <v>1.9152386300413764E-2</v>
      </c>
      <c r="G24" s="8">
        <f t="shared" si="18"/>
        <v>25.53651506721835</v>
      </c>
      <c r="H24" s="2">
        <f>IF(Calculator!$E$11='GWP reference values'!$C$6,G24*'GWP reference values'!$D$6/1000,IF(Calculator!$E$11='GWP reference values'!$C$7,G24*'GWP reference values'!$D$7/1000,IF(Calculator!$E$11='GWP reference values'!$C$8,G24*'GWP reference values'!$D$8/1000,"Error")))</f>
        <v>0.71502242188211385</v>
      </c>
      <c r="I24" s="2">
        <f t="shared" si="8"/>
        <v>4.697389088548781</v>
      </c>
      <c r="J24" s="3">
        <f t="shared" si="9"/>
        <v>21</v>
      </c>
    </row>
    <row r="25" spans="3:10" x14ac:dyDescent="0.25">
      <c r="C25" s="3">
        <v>22</v>
      </c>
      <c r="D25" s="3">
        <f t="shared" si="16"/>
        <v>1.2201999999999997</v>
      </c>
      <c r="E25" s="3">
        <f t="shared" si="17"/>
        <v>4.4740666666666655</v>
      </c>
      <c r="F25" s="2">
        <f>(0.334*0.5^((C25+5)/6.31))*'EF Adjustment Table'!I$12</f>
        <v>1.7159952403155137E-2</v>
      </c>
      <c r="G25" s="8">
        <f t="shared" si="18"/>
        <v>22.879936537540186</v>
      </c>
      <c r="H25" s="2">
        <f>IF(Calculator!$E$11='GWP reference values'!$C$6,G25*'GWP reference values'!$D$6/1000,IF(Calculator!$E$11='GWP reference values'!$C$7,G25*'GWP reference values'!$D$7/1000,IF(Calculator!$E$11='GWP reference values'!$C$8,G25*'GWP reference values'!$D$8/1000,"Error")))</f>
        <v>0.64063822305112528</v>
      </c>
      <c r="I25" s="2">
        <f t="shared" si="8"/>
        <v>5.1147048897177907</v>
      </c>
      <c r="J25" s="3">
        <f t="shared" si="9"/>
        <v>22</v>
      </c>
    </row>
    <row r="26" spans="3:10" x14ac:dyDescent="0.25">
      <c r="C26" s="3">
        <v>23</v>
      </c>
      <c r="D26" s="3">
        <f t="shared" si="16"/>
        <v>1.3542999999999998</v>
      </c>
      <c r="E26" s="3">
        <f t="shared" si="17"/>
        <v>4.9657666666666662</v>
      </c>
      <c r="F26" s="2">
        <f>(0.334*0.5^((C26+5)/6.31))*'EF Adjustment Table'!I$12</f>
        <v>1.5374792564213697E-2</v>
      </c>
      <c r="G26" s="8">
        <f t="shared" si="18"/>
        <v>20.499723418951596</v>
      </c>
      <c r="H26" s="2">
        <f>IF(Calculator!$E$11='GWP reference values'!$C$6,G26*'GWP reference values'!$D$6/1000,IF(Calculator!$E$11='GWP reference values'!$C$7,G26*'GWP reference values'!$D$7/1000,IF(Calculator!$E$11='GWP reference values'!$C$8,G26*'GWP reference values'!$D$8/1000,"Error")))</f>
        <v>0.57399225573064472</v>
      </c>
      <c r="I26" s="2">
        <f t="shared" si="8"/>
        <v>5.5397589223973114</v>
      </c>
      <c r="J26" s="3">
        <f t="shared" si="9"/>
        <v>23</v>
      </c>
    </row>
    <row r="27" spans="3:10" x14ac:dyDescent="0.25">
      <c r="C27" s="3">
        <v>24</v>
      </c>
      <c r="D27" s="3">
        <f t="shared" si="16"/>
        <v>1.4883999999999999</v>
      </c>
      <c r="E27" s="3">
        <f t="shared" si="17"/>
        <v>5.4574666666666669</v>
      </c>
      <c r="F27" s="2">
        <f>(0.334*0.5^((C27+5)/6.31))*'EF Adjustment Table'!I$12</f>
        <v>1.377534394262875E-2</v>
      </c>
      <c r="G27" s="8">
        <f t="shared" si="18"/>
        <v>18.367125256838332</v>
      </c>
      <c r="H27" s="2">
        <f>IF(Calculator!$E$11='GWP reference values'!$C$6,G27*'GWP reference values'!$D$6/1000,IF(Calculator!$E$11='GWP reference values'!$C$7,G27*'GWP reference values'!$D$7/1000,IF(Calculator!$E$11='GWP reference values'!$C$8,G27*'GWP reference values'!$D$8/1000,"Error")))</f>
        <v>0.51427950719147331</v>
      </c>
      <c r="I27" s="2">
        <f t="shared" si="8"/>
        <v>5.9717461738581399</v>
      </c>
      <c r="J27" s="3">
        <f t="shared" si="9"/>
        <v>24</v>
      </c>
    </row>
    <row r="28" spans="3:10" x14ac:dyDescent="0.25">
      <c r="C28" s="3">
        <v>25</v>
      </c>
      <c r="D28" s="3">
        <f t="shared" si="16"/>
        <v>1.6225000000000001</v>
      </c>
      <c r="E28" s="3">
        <f t="shared" si="17"/>
        <v>5.9491666666666676</v>
      </c>
      <c r="F28" s="2">
        <f>(0.334*0.5^((C28+5)/6.31))*'EF Adjustment Table'!I$12</f>
        <v>1.2342286892338527E-2</v>
      </c>
      <c r="G28" s="8">
        <f t="shared" si="18"/>
        <v>16.456382523118034</v>
      </c>
      <c r="H28" s="2">
        <f>IF(Calculator!$E$11='GWP reference values'!$C$6,G28*'GWP reference values'!$D$6/1000,IF(Calculator!$E$11='GWP reference values'!$C$7,G28*'GWP reference values'!$D$7/1000,IF(Calculator!$E$11='GWP reference values'!$C$8,G28*'GWP reference values'!$D$8/1000,"Error")))</f>
        <v>0.46077871064730491</v>
      </c>
      <c r="I28" s="2">
        <f t="shared" si="8"/>
        <v>6.4099453773139725</v>
      </c>
      <c r="J28" s="3">
        <f t="shared" si="9"/>
        <v>25</v>
      </c>
    </row>
    <row r="29" spans="3:10" x14ac:dyDescent="0.25">
      <c r="C29" s="3">
        <v>26</v>
      </c>
      <c r="D29" s="3">
        <f t="shared" si="16"/>
        <v>1.7566000000000002</v>
      </c>
      <c r="E29" s="3">
        <f t="shared" si="17"/>
        <v>6.4408666666666665</v>
      </c>
      <c r="F29" s="2">
        <f>(0.334*0.5^((C29+5)/6.31))*'EF Adjustment Table'!I$12</f>
        <v>1.1058311601308863E-2</v>
      </c>
      <c r="G29" s="8">
        <f t="shared" si="18"/>
        <v>14.744415468411818</v>
      </c>
      <c r="H29" s="2">
        <f>IF(Calculator!$E$11='GWP reference values'!$C$6,G29*'GWP reference values'!$D$6/1000,IF(Calculator!$E$11='GWP reference values'!$C$7,G29*'GWP reference values'!$D$7/1000,IF(Calculator!$E$11='GWP reference values'!$C$8,G29*'GWP reference values'!$D$8/1000,"Error")))</f>
        <v>0.41284363311553091</v>
      </c>
      <c r="I29" s="2">
        <f t="shared" si="8"/>
        <v>6.8537102997821977</v>
      </c>
      <c r="J29" s="3">
        <f t="shared" si="9"/>
        <v>26</v>
      </c>
    </row>
    <row r="30" spans="3:10" x14ac:dyDescent="0.25">
      <c r="C30" s="3">
        <v>27</v>
      </c>
      <c r="D30" s="3">
        <f t="shared" si="16"/>
        <v>1.8906999999999998</v>
      </c>
      <c r="E30" s="3">
        <f t="shared" si="17"/>
        <v>6.9325666666666663</v>
      </c>
      <c r="F30" s="2">
        <f>(0.334*0.5^((C30+5)/6.31))*'EF Adjustment Table'!I$12</f>
        <v>9.9079090073292252E-3</v>
      </c>
      <c r="G30" s="8">
        <f t="shared" si="18"/>
        <v>13.210545343105634</v>
      </c>
      <c r="H30" s="2">
        <f>IF(Calculator!$E$11='GWP reference values'!$C$6,G30*'GWP reference values'!$D$6/1000,IF(Calculator!$E$11='GWP reference values'!$C$7,G30*'GWP reference values'!$D$7/1000,IF(Calculator!$E$11='GWP reference values'!$C$8,G30*'GWP reference values'!$D$8/1000,"Error")))</f>
        <v>0.36989526960695773</v>
      </c>
      <c r="I30" s="2">
        <f t="shared" si="8"/>
        <v>7.3024619362736241</v>
      </c>
      <c r="J30" s="3">
        <f t="shared" si="9"/>
        <v>27</v>
      </c>
    </row>
    <row r="31" spans="3:10" x14ac:dyDescent="0.25">
      <c r="C31" s="3">
        <v>28</v>
      </c>
      <c r="D31" s="3">
        <f t="shared" si="16"/>
        <v>2.0247999999999999</v>
      </c>
      <c r="E31" s="3">
        <f t="shared" si="17"/>
        <v>7.4242666666666661</v>
      </c>
      <c r="F31" s="2">
        <f>(0.334*0.5^((C31+5)/6.31))*'EF Adjustment Table'!I$12</f>
        <v>8.8771834649601106E-3</v>
      </c>
      <c r="G31" s="8">
        <f t="shared" si="18"/>
        <v>11.836244619946813</v>
      </c>
      <c r="H31" s="2">
        <f>IF(Calculator!$E$11='GWP reference values'!$C$6,G31*'GWP reference values'!$D$6/1000,IF(Calculator!$E$11='GWP reference values'!$C$7,G31*'GWP reference values'!$D$7/1000,IF(Calculator!$E$11='GWP reference values'!$C$8,G31*'GWP reference values'!$D$8/1000,"Error")))</f>
        <v>0.33141484935851079</v>
      </c>
      <c r="I31" s="2">
        <f t="shared" si="8"/>
        <v>7.7556815160251773</v>
      </c>
      <c r="J31" s="3">
        <f t="shared" si="9"/>
        <v>28</v>
      </c>
    </row>
    <row r="32" spans="3:10" x14ac:dyDescent="0.25">
      <c r="C32" s="3">
        <v>29</v>
      </c>
      <c r="D32" s="3">
        <f t="shared" si="16"/>
        <v>2.1589</v>
      </c>
      <c r="E32" s="3">
        <f t="shared" si="17"/>
        <v>7.9159666666666668</v>
      </c>
      <c r="F32" s="2">
        <f>(0.334*0.5^((C32+5)/6.31))*'EF Adjustment Table'!I$12</f>
        <v>7.9536849008470731E-3</v>
      </c>
      <c r="G32" s="8">
        <f t="shared" si="18"/>
        <v>10.604913201129431</v>
      </c>
      <c r="H32" s="2">
        <f>IF(Calculator!$E$11='GWP reference values'!$C$6,G32*'GWP reference values'!$D$6/1000,IF(Calculator!$E$11='GWP reference values'!$C$7,G32*'GWP reference values'!$D$7/1000,IF(Calculator!$E$11='GWP reference values'!$C$8,G32*'GWP reference values'!$D$8/1000,"Error")))</f>
        <v>0.29693756963162404</v>
      </c>
      <c r="I32" s="2">
        <f t="shared" si="8"/>
        <v>8.2129042362982911</v>
      </c>
      <c r="J32" s="3">
        <f t="shared" si="9"/>
        <v>29</v>
      </c>
    </row>
    <row r="33" spans="3:10" x14ac:dyDescent="0.25">
      <c r="C33" s="3">
        <v>30</v>
      </c>
      <c r="D33" s="3">
        <f t="shared" si="16"/>
        <v>2.2929999999999997</v>
      </c>
      <c r="E33" s="3">
        <f t="shared" si="17"/>
        <v>8.4076666666666657</v>
      </c>
      <c r="F33" s="2">
        <f>(0.334*0.5^((C33+5)/6.31))*'EF Adjustment Table'!I$12</f>
        <v>7.1262584300151085E-3</v>
      </c>
      <c r="G33" s="8">
        <f t="shared" si="18"/>
        <v>9.5016779066868118</v>
      </c>
      <c r="H33" s="2">
        <f>IF(Calculator!$E$11='GWP reference values'!$C$6,G33*'GWP reference values'!$D$6/1000,IF(Calculator!$E$11='GWP reference values'!$C$7,G33*'GWP reference values'!$D$7/1000,IF(Calculator!$E$11='GWP reference values'!$C$8,G33*'GWP reference values'!$D$8/1000,"Error")))</f>
        <v>0.26604698138723076</v>
      </c>
      <c r="I33" s="2">
        <f t="shared" si="8"/>
        <v>8.6737136480538961</v>
      </c>
      <c r="J33" s="3">
        <f t="shared" si="9"/>
        <v>30</v>
      </c>
    </row>
    <row r="34" spans="3:10" x14ac:dyDescent="0.25">
      <c r="C34" s="3">
        <v>31</v>
      </c>
      <c r="D34" s="3">
        <f t="shared" si="16"/>
        <v>2.4270999999999998</v>
      </c>
      <c r="E34" s="3">
        <f t="shared" si="17"/>
        <v>8.8993666666666655</v>
      </c>
      <c r="F34" s="2">
        <f>(0.334*0.5^((C34+5)/6.31))*'EF Adjustment Table'!I$12</f>
        <v>6.3849096166674795E-3</v>
      </c>
      <c r="G34" s="8">
        <f t="shared" si="18"/>
        <v>8.5132128222233057</v>
      </c>
      <c r="H34" s="2">
        <f>IF(Calculator!$E$11='GWP reference values'!$C$6,G34*'GWP reference values'!$D$6/1000,IF(Calculator!$E$11='GWP reference values'!$C$7,G34*'GWP reference values'!$D$7/1000,IF(Calculator!$E$11='GWP reference values'!$C$8,G34*'GWP reference values'!$D$8/1000,"Error")))</f>
        <v>0.23836995902225255</v>
      </c>
      <c r="I34" s="2">
        <f t="shared" si="8"/>
        <v>9.1377366256889179</v>
      </c>
      <c r="J34" s="3">
        <f t="shared" si="9"/>
        <v>31</v>
      </c>
    </row>
    <row r="35" spans="3:10" x14ac:dyDescent="0.25">
      <c r="C35" s="3">
        <v>32</v>
      </c>
      <c r="D35" s="3">
        <f t="shared" si="16"/>
        <v>2.5611999999999999</v>
      </c>
      <c r="E35" s="3">
        <f t="shared" si="17"/>
        <v>9.3910666666666671</v>
      </c>
      <c r="F35" s="2">
        <f>(0.334*0.5^((C35+5)/6.31))*'EF Adjustment Table'!I$12</f>
        <v>5.7206837519820936E-3</v>
      </c>
      <c r="G35" s="8">
        <f t="shared" si="18"/>
        <v>7.6275783359761249</v>
      </c>
      <c r="H35" s="2">
        <f>IF(Calculator!$E$11='GWP reference values'!$C$6,G35*'GWP reference values'!$D$6/1000,IF(Calculator!$E$11='GWP reference values'!$C$7,G35*'GWP reference values'!$D$7/1000,IF(Calculator!$E$11='GWP reference values'!$C$8,G35*'GWP reference values'!$D$8/1000,"Error")))</f>
        <v>0.2135721934073315</v>
      </c>
      <c r="I35" s="2">
        <f t="shared" si="8"/>
        <v>9.6046388600739991</v>
      </c>
      <c r="J35" s="3">
        <f t="shared" si="9"/>
        <v>32</v>
      </c>
    </row>
    <row r="36" spans="3:10" x14ac:dyDescent="0.25">
      <c r="C36" s="3">
        <v>33</v>
      </c>
      <c r="D36" s="3">
        <f t="shared" si="16"/>
        <v>2.6953</v>
      </c>
      <c r="E36" s="3">
        <f t="shared" si="17"/>
        <v>9.8827666666666669</v>
      </c>
      <c r="F36" s="2">
        <f>(0.334*0.5^((C36+5)/6.31))*'EF Adjustment Table'!I$12</f>
        <v>5.1255576907090136E-3</v>
      </c>
      <c r="G36" s="8">
        <f t="shared" si="18"/>
        <v>6.8340769209453507</v>
      </c>
      <c r="H36" s="2">
        <f>IF(Calculator!$E$11='GWP reference values'!$C$6,G36*'GWP reference values'!$D$6/1000,IF(Calculator!$E$11='GWP reference values'!$C$7,G36*'GWP reference values'!$D$7/1000,IF(Calculator!$E$11='GWP reference values'!$C$8,G36*'GWP reference values'!$D$8/1000,"Error")))</f>
        <v>0.19135415378646983</v>
      </c>
      <c r="I36" s="2">
        <f t="shared" si="8"/>
        <v>10.074120820453137</v>
      </c>
      <c r="J36" s="3">
        <f t="shared" si="9"/>
        <v>33</v>
      </c>
    </row>
    <row r="37" spans="3:10" x14ac:dyDescent="0.25">
      <c r="C37" s="3">
        <v>34</v>
      </c>
      <c r="D37" s="3">
        <f t="shared" si="16"/>
        <v>2.8294000000000001</v>
      </c>
      <c r="E37" s="3">
        <f t="shared" si="17"/>
        <v>10.374466666666667</v>
      </c>
      <c r="F37" s="2">
        <f>(0.334*0.5^((C37+5)/6.31))*'EF Adjustment Table'!I$12</f>
        <v>4.5923429400696802E-3</v>
      </c>
      <c r="G37" s="8">
        <f t="shared" si="18"/>
        <v>6.1231239200929073</v>
      </c>
      <c r="H37" s="2">
        <f>IF(Calculator!$E$11='GWP reference values'!$C$6,G37*'GWP reference values'!$D$6/1000,IF(Calculator!$E$11='GWP reference values'!$C$7,G37*'GWP reference values'!$D$7/1000,IF(Calculator!$E$11='GWP reference values'!$C$8,G37*'GWP reference values'!$D$8/1000,"Error")))</f>
        <v>0.17144746976260139</v>
      </c>
      <c r="I37" s="2">
        <f t="shared" si="8"/>
        <v>10.545914136429268</v>
      </c>
      <c r="J37" s="3">
        <f t="shared" si="9"/>
        <v>34</v>
      </c>
    </row>
    <row r="38" spans="3:10" x14ac:dyDescent="0.25">
      <c r="C38" s="3">
        <v>35</v>
      </c>
      <c r="D38" s="3">
        <f t="shared" si="16"/>
        <v>2.9635000000000002</v>
      </c>
      <c r="E38" s="3">
        <f t="shared" si="17"/>
        <v>10.866166666666668</v>
      </c>
      <c r="F38" s="2">
        <f>(0.334*0.5^((C38+5)/6.31))*'EF Adjustment Table'!I$12</f>
        <v>4.1145988303744061E-3</v>
      </c>
      <c r="G38" s="8">
        <f t="shared" si="18"/>
        <v>5.4861317738325406</v>
      </c>
      <c r="H38" s="2">
        <f>IF(Calculator!$E$11='GWP reference values'!$C$6,G38*'GWP reference values'!$D$6/1000,IF(Calculator!$E$11='GWP reference values'!$C$7,G38*'GWP reference values'!$D$7/1000,IF(Calculator!$E$11='GWP reference values'!$C$8,G38*'GWP reference values'!$D$8/1000,"Error")))</f>
        <v>0.15361168966731115</v>
      </c>
      <c r="I38" s="2">
        <f t="shared" si="8"/>
        <v>11.01977835633398</v>
      </c>
      <c r="J38" s="3">
        <f t="shared" si="9"/>
        <v>35</v>
      </c>
    </row>
    <row r="39" spans="3:10" x14ac:dyDescent="0.25">
      <c r="C39" s="3">
        <v>36</v>
      </c>
      <c r="D39" s="3">
        <f t="shared" si="16"/>
        <v>3.0976000000000004</v>
      </c>
      <c r="E39" s="3">
        <f t="shared" si="17"/>
        <v>11.357866666666668</v>
      </c>
      <c r="F39" s="2">
        <f>(0.334*0.5^((C39+5)/6.31))*'EF Adjustment Table'!I$12</f>
        <v>3.6865547185510363E-3</v>
      </c>
      <c r="G39" s="8">
        <f t="shared" si="18"/>
        <v>4.9154062914013812</v>
      </c>
      <c r="H39" s="2">
        <f>IF(Calculator!$E$11='GWP reference values'!$C$6,G39*'GWP reference values'!$D$6/1000,IF(Calculator!$E$11='GWP reference values'!$C$7,G39*'GWP reference values'!$D$7/1000,IF(Calculator!$E$11='GWP reference values'!$C$8,G39*'GWP reference values'!$D$8/1000,"Error")))</f>
        <v>0.13763137615923868</v>
      </c>
      <c r="I39" s="2">
        <f t="shared" si="8"/>
        <v>11.495498042825906</v>
      </c>
      <c r="J39" s="3">
        <f t="shared" si="9"/>
        <v>36</v>
      </c>
    </row>
    <row r="40" spans="3:10" x14ac:dyDescent="0.25">
      <c r="C40" s="3">
        <v>37</v>
      </c>
      <c r="D40" s="3">
        <f t="shared" si="16"/>
        <v>3.2316999999999996</v>
      </c>
      <c r="E40" s="3">
        <f t="shared" si="17"/>
        <v>11.849566666666666</v>
      </c>
      <c r="F40" s="2">
        <f>(0.334*0.5^((C40+5)/6.31))*'EF Adjustment Table'!I$12</f>
        <v>3.3030402848858637E-3</v>
      </c>
      <c r="G40" s="8">
        <f t="shared" si="18"/>
        <v>4.4040537131811517</v>
      </c>
      <c r="H40" s="2">
        <f>IF(Calculator!$E$11='GWP reference values'!$C$6,G40*'GWP reference values'!$D$6/1000,IF(Calculator!$E$11='GWP reference values'!$C$7,G40*'GWP reference values'!$D$7/1000,IF(Calculator!$E$11='GWP reference values'!$C$8,G40*'GWP reference values'!$D$8/1000,"Error")))</f>
        <v>0.12331350396907224</v>
      </c>
      <c r="I40" s="2">
        <f t="shared" si="8"/>
        <v>11.972880170635738</v>
      </c>
      <c r="J40" s="3">
        <f t="shared" si="9"/>
        <v>37</v>
      </c>
    </row>
    <row r="41" spans="3:10" x14ac:dyDescent="0.25">
      <c r="C41" s="3">
        <v>38</v>
      </c>
      <c r="D41" s="3">
        <f t="shared" si="16"/>
        <v>3.3657999999999997</v>
      </c>
      <c r="E41" s="3">
        <f t="shared" si="17"/>
        <v>12.341266666666666</v>
      </c>
      <c r="F41" s="2">
        <f>(0.334*0.5^((C41+5)/6.31))*'EF Adjustment Table'!I$12</f>
        <v>2.9594230810351201E-3</v>
      </c>
      <c r="G41" s="8">
        <f t="shared" si="18"/>
        <v>3.94589744138016</v>
      </c>
      <c r="H41" s="2">
        <f>IF(Calculator!$E$11='GWP reference values'!$C$6,G41*'GWP reference values'!$D$6/1000,IF(Calculator!$E$11='GWP reference values'!$C$7,G41*'GWP reference values'!$D$7/1000,IF(Calculator!$E$11='GWP reference values'!$C$8,G41*'GWP reference values'!$D$8/1000,"Error")))</f>
        <v>0.11048512835864448</v>
      </c>
      <c r="I41" s="2">
        <f t="shared" si="8"/>
        <v>12.451751795025311</v>
      </c>
      <c r="J41" s="3">
        <f t="shared" si="9"/>
        <v>38</v>
      </c>
    </row>
    <row r="42" spans="3:10" x14ac:dyDescent="0.25">
      <c r="C42" s="3">
        <v>39</v>
      </c>
      <c r="D42" s="3">
        <f t="shared" si="16"/>
        <v>3.4998999999999998</v>
      </c>
      <c r="E42" s="3">
        <f t="shared" si="17"/>
        <v>12.832966666666666</v>
      </c>
      <c r="F42" s="2">
        <f>(0.334*0.5^((C42+5)/6.31))*'EF Adjustment Table'!I$12</f>
        <v>2.6515525749532479E-3</v>
      </c>
      <c r="G42" s="8">
        <f t="shared" si="18"/>
        <v>3.5354034332709969</v>
      </c>
      <c r="H42" s="2">
        <f>IF(Calculator!$E$11='GWP reference values'!$C$6,G42*'GWP reference values'!$D$6/1000,IF(Calculator!$E$11='GWP reference values'!$C$7,G42*'GWP reference values'!$D$7/1000,IF(Calculator!$E$11='GWP reference values'!$C$8,G42*'GWP reference values'!$D$8/1000,"Error")))</f>
        <v>9.8991296131587914E-2</v>
      </c>
      <c r="I42" s="2">
        <f t="shared" si="8"/>
        <v>12.931957962798254</v>
      </c>
      <c r="J42" s="3">
        <f t="shared" si="9"/>
        <v>39</v>
      </c>
    </row>
    <row r="43" spans="3:10" x14ac:dyDescent="0.25">
      <c r="C43" s="3">
        <v>40</v>
      </c>
      <c r="D43" s="3">
        <f t="shared" si="16"/>
        <v>3.6339999999999999</v>
      </c>
      <c r="E43" s="3">
        <f t="shared" si="17"/>
        <v>13.324666666666667</v>
      </c>
      <c r="F43" s="2">
        <f>(0.334*0.5^((C43+5)/6.31))*'EF Adjustment Table'!I$12</f>
        <v>2.3757100168597884E-3</v>
      </c>
      <c r="G43" s="8">
        <f t="shared" si="18"/>
        <v>3.1676133558130513</v>
      </c>
      <c r="H43" s="2">
        <f>IF(Calculator!$E$11='GWP reference values'!$C$6,G43*'GWP reference values'!$D$6/1000,IF(Calculator!$E$11='GWP reference values'!$C$7,G43*'GWP reference values'!$D$7/1000,IF(Calculator!$E$11='GWP reference values'!$C$8,G43*'GWP reference values'!$D$8/1000,"Error")))</f>
        <v>8.8693173962765423E-2</v>
      </c>
      <c r="I43" s="2">
        <f t="shared" si="8"/>
        <v>13.413359840629433</v>
      </c>
      <c r="J43" s="3">
        <f t="shared" si="9"/>
        <v>40</v>
      </c>
    </row>
    <row r="44" spans="3:10" x14ac:dyDescent="0.25">
      <c r="C44" s="3">
        <v>41</v>
      </c>
      <c r="D44" s="3">
        <f t="shared" si="16"/>
        <v>3.7681</v>
      </c>
      <c r="E44" s="3">
        <f t="shared" si="17"/>
        <v>13.816366666666667</v>
      </c>
      <c r="F44" s="2">
        <f>(0.334*0.5^((C44+5)/6.31))*'EF Adjustment Table'!I$12</f>
        <v>2.1285635206789951E-3</v>
      </c>
      <c r="G44" s="8">
        <f t="shared" si="18"/>
        <v>2.8380846942386602</v>
      </c>
      <c r="H44" s="2">
        <f>IF(Calculator!$E$11='GWP reference values'!$C$6,G44*'GWP reference values'!$D$6/1000,IF(Calculator!$E$11='GWP reference values'!$C$7,G44*'GWP reference values'!$D$7/1000,IF(Calculator!$E$11='GWP reference values'!$C$8,G44*'GWP reference values'!$D$8/1000,"Error")))</f>
        <v>7.9466371438682487E-2</v>
      </c>
      <c r="I44" s="2">
        <f t="shared" si="8"/>
        <v>13.89583303810535</v>
      </c>
      <c r="J44" s="3">
        <f t="shared" si="9"/>
        <v>41</v>
      </c>
    </row>
    <row r="45" spans="3:10" x14ac:dyDescent="0.25">
      <c r="C45" s="3">
        <v>42</v>
      </c>
      <c r="D45" s="3">
        <f t="shared" si="16"/>
        <v>3.9022000000000001</v>
      </c>
      <c r="E45" s="3">
        <f t="shared" si="17"/>
        <v>14.308066666666667</v>
      </c>
      <c r="F45" s="2">
        <f>(0.334*0.5^((C45+5)/6.31))*'EF Adjustment Table'!I$12</f>
        <v>1.9071278183833819E-3</v>
      </c>
      <c r="G45" s="8">
        <f t="shared" si="18"/>
        <v>2.5428370911778426</v>
      </c>
      <c r="H45" s="2">
        <f>IF(Calculator!$E$11='GWP reference values'!$C$6,G45*'GWP reference values'!$D$6/1000,IF(Calculator!$E$11='GWP reference values'!$C$7,G45*'GWP reference values'!$D$7/1000,IF(Calculator!$E$11='GWP reference values'!$C$8,G45*'GWP reference values'!$D$8/1000,"Error")))</f>
        <v>7.1199438552979583E-2</v>
      </c>
      <c r="I45" s="2">
        <f t="shared" si="8"/>
        <v>14.379266105219646</v>
      </c>
      <c r="J45" s="3">
        <f t="shared" si="9"/>
        <v>42</v>
      </c>
    </row>
    <row r="46" spans="3:10" x14ac:dyDescent="0.25">
      <c r="C46" s="3">
        <v>43</v>
      </c>
      <c r="D46" s="3">
        <f t="shared" si="16"/>
        <v>4.0363000000000007</v>
      </c>
      <c r="E46" s="3">
        <f t="shared" si="17"/>
        <v>14.799766666666669</v>
      </c>
      <c r="F46" s="2">
        <f>(0.334*0.5^((C46+5)/6.31))*'EF Adjustment Table'!I$12</f>
        <v>1.7087282011163764E-3</v>
      </c>
      <c r="G46" s="8">
        <f t="shared" si="18"/>
        <v>2.2783042681551686</v>
      </c>
      <c r="H46" s="2">
        <f>IF(Calculator!$E$11='GWP reference values'!$C$6,G46*'GWP reference values'!$D$6/1000,IF(Calculator!$E$11='GWP reference values'!$C$7,G46*'GWP reference values'!$D$7/1000,IF(Calculator!$E$11='GWP reference values'!$C$8,G46*'GWP reference values'!$D$8/1000,"Error")))</f>
        <v>6.3792519508344719E-2</v>
      </c>
      <c r="I46" s="2">
        <f t="shared" si="8"/>
        <v>14.863559186175014</v>
      </c>
      <c r="J46" s="3">
        <f t="shared" si="9"/>
        <v>43</v>
      </c>
    </row>
    <row r="47" spans="3:10" x14ac:dyDescent="0.25">
      <c r="C47" s="3">
        <v>44</v>
      </c>
      <c r="D47" s="3">
        <f t="shared" si="16"/>
        <v>4.170399999999999</v>
      </c>
      <c r="E47" s="3">
        <f t="shared" si="17"/>
        <v>15.291466666666663</v>
      </c>
      <c r="F47" s="2">
        <f>(0.334*0.5^((C47+5)/6.31))*'EF Adjustment Table'!I$12</f>
        <v>1.5309682115409531E-3</v>
      </c>
      <c r="G47" s="8">
        <f t="shared" si="18"/>
        <v>2.0412909487212709</v>
      </c>
      <c r="H47" s="2">
        <f>IF(Calculator!$E$11='GWP reference values'!$C$6,G47*'GWP reference values'!$D$6/1000,IF(Calculator!$E$11='GWP reference values'!$C$7,G47*'GWP reference values'!$D$7/1000,IF(Calculator!$E$11='GWP reference values'!$C$8,G47*'GWP reference values'!$D$8/1000,"Error")))</f>
        <v>5.7156146564195591E-2</v>
      </c>
      <c r="I47" s="2">
        <f t="shared" si="8"/>
        <v>15.348622813230859</v>
      </c>
      <c r="J47" s="3">
        <f t="shared" si="9"/>
        <v>44</v>
      </c>
    </row>
    <row r="48" spans="3:10" x14ac:dyDescent="0.25">
      <c r="C48" s="3">
        <v>45</v>
      </c>
      <c r="D48" s="3">
        <f t="shared" si="16"/>
        <v>4.3044999999999991</v>
      </c>
      <c r="E48" s="3">
        <f t="shared" si="17"/>
        <v>15.783166666666663</v>
      </c>
      <c r="F48" s="2">
        <f>(0.334*0.5^((C48+5)/6.31))*'EF Adjustment Table'!I$12</f>
        <v>1.3717006971720675E-3</v>
      </c>
      <c r="G48" s="8">
        <f t="shared" si="18"/>
        <v>1.8289342628960901</v>
      </c>
      <c r="H48" s="2">
        <f>IF(Calculator!$E$11='GWP reference values'!$C$6,G48*'GWP reference values'!$D$6/1000,IF(Calculator!$E$11='GWP reference values'!$C$7,G48*'GWP reference values'!$D$7/1000,IF(Calculator!$E$11='GWP reference values'!$C$8,G48*'GWP reference values'!$D$8/1000,"Error")))</f>
        <v>5.1210159361090517E-2</v>
      </c>
      <c r="I48" s="2">
        <f t="shared" si="8"/>
        <v>15.834376826027754</v>
      </c>
      <c r="J48" s="3">
        <f t="shared" si="9"/>
        <v>45</v>
      </c>
    </row>
    <row r="49" spans="2:10" x14ac:dyDescent="0.25">
      <c r="C49" s="3">
        <v>46</v>
      </c>
      <c r="D49" s="3">
        <f t="shared" ref="D49:D51" si="19">0.1341*C49-1.73</f>
        <v>4.4385999999999992</v>
      </c>
      <c r="E49" s="3">
        <f t="shared" ref="E49:E51" si="20">D49/12*44</f>
        <v>16.274866666666664</v>
      </c>
      <c r="F49" s="2">
        <f>(0.334*0.5^((C49+5)/6.31))*'EF Adjustment Table'!I$12</f>
        <v>1.2290018750477517E-3</v>
      </c>
      <c r="G49" s="8">
        <f t="shared" ref="G49:G51" si="21">F49*1000*16/12</f>
        <v>1.6386691667303355</v>
      </c>
      <c r="H49" s="2">
        <f>IF(Calculator!$E$11='GWP reference values'!$C$6,G49*'GWP reference values'!$D$6/1000,IF(Calculator!$E$11='GWP reference values'!$C$7,G49*'GWP reference values'!$D$7/1000,IF(Calculator!$E$11='GWP reference values'!$C$8,G49*'GWP reference values'!$D$8/1000,"Error")))</f>
        <v>4.5882736668449393E-2</v>
      </c>
      <c r="I49" s="2">
        <f t="shared" si="8"/>
        <v>16.320749403335114</v>
      </c>
      <c r="J49" s="3">
        <f t="shared" si="9"/>
        <v>46</v>
      </c>
    </row>
    <row r="50" spans="2:10" x14ac:dyDescent="0.25">
      <c r="C50" s="3">
        <v>47</v>
      </c>
      <c r="D50" s="3">
        <f t="shared" si="19"/>
        <v>4.5726999999999993</v>
      </c>
      <c r="E50" s="3">
        <f t="shared" si="20"/>
        <v>16.766566666666662</v>
      </c>
      <c r="F50" s="2">
        <f>(0.334*0.5^((C50+5)/6.31))*'EF Adjustment Table'!I$12</f>
        <v>1.1011480944675925E-3</v>
      </c>
      <c r="G50" s="8">
        <f t="shared" si="21"/>
        <v>1.4681974592901232</v>
      </c>
      <c r="H50" s="2">
        <f>IF(Calculator!$E$11='GWP reference values'!$C$6,G50*'GWP reference values'!$D$6/1000,IF(Calculator!$E$11='GWP reference values'!$C$7,G50*'GWP reference values'!$D$7/1000,IF(Calculator!$E$11='GWP reference values'!$C$8,G50*'GWP reference values'!$D$8/1000,"Error")))</f>
        <v>4.1109528860123444E-2</v>
      </c>
      <c r="I50" s="2">
        <f t="shared" si="8"/>
        <v>16.807676195526785</v>
      </c>
      <c r="J50" s="3">
        <f t="shared" si="9"/>
        <v>47</v>
      </c>
    </row>
    <row r="51" spans="2:10" x14ac:dyDescent="0.25">
      <c r="C51" s="3">
        <v>48</v>
      </c>
      <c r="D51" s="3">
        <f t="shared" si="19"/>
        <v>4.7067999999999994</v>
      </c>
      <c r="E51" s="3">
        <f t="shared" si="20"/>
        <v>17.258266666666664</v>
      </c>
      <c r="F51" s="2">
        <f>(0.334*0.5^((C51+5)/6.31))*'EF Adjustment Table'!I$12</f>
        <v>9.8659501711703896E-4</v>
      </c>
      <c r="G51" s="8">
        <f t="shared" si="21"/>
        <v>1.3154600228227187</v>
      </c>
      <c r="H51" s="2">
        <f>IF(Calculator!$E$11='GWP reference values'!$C$6,G51*'GWP reference values'!$D$6/1000,IF(Calculator!$E$11='GWP reference values'!$C$7,G51*'GWP reference values'!$D$7/1000,IF(Calculator!$E$11='GWP reference values'!$C$8,G51*'GWP reference values'!$D$8/1000,"Error")))</f>
        <v>3.6832880639036121E-2</v>
      </c>
      <c r="I51" s="2">
        <f t="shared" si="8"/>
        <v>17.2950995473057</v>
      </c>
      <c r="J51" s="3">
        <f t="shared" si="9"/>
        <v>48</v>
      </c>
    </row>
    <row r="52" spans="2:10" x14ac:dyDescent="0.25">
      <c r="C52" s="3">
        <v>49</v>
      </c>
      <c r="D52" s="3">
        <f t="shared" si="16"/>
        <v>4.8408999999999995</v>
      </c>
      <c r="E52" s="3">
        <f t="shared" si="17"/>
        <v>17.749966666666666</v>
      </c>
      <c r="F52" s="2">
        <f>(0.334*0.5^((C52+5)/6.31))*'EF Adjustment Table'!I$12</f>
        <v>8.8395896309551123E-4</v>
      </c>
      <c r="G52" s="8">
        <f t="shared" si="18"/>
        <v>1.1786119507940149</v>
      </c>
      <c r="H52" s="2">
        <f>IF(Calculator!$E$11='GWP reference values'!$C$6,G52*'GWP reference values'!$D$6/1000,IF(Calculator!$E$11='GWP reference values'!$C$7,G52*'GWP reference values'!$D$7/1000,IF(Calculator!$E$11='GWP reference values'!$C$8,G52*'GWP reference values'!$D$8/1000,"Error")))</f>
        <v>3.300113462223242E-2</v>
      </c>
      <c r="I52" s="2">
        <f t="shared" si="8"/>
        <v>17.782967801288898</v>
      </c>
      <c r="J52" s="3">
        <f t="shared" si="9"/>
        <v>49</v>
      </c>
    </row>
    <row r="53" spans="2:10" x14ac:dyDescent="0.25">
      <c r="B53" s="4"/>
      <c r="C53" s="14">
        <v>50</v>
      </c>
      <c r="D53" s="14">
        <f t="shared" si="16"/>
        <v>4.9749999999999996</v>
      </c>
      <c r="E53" s="14">
        <f t="shared" si="17"/>
        <v>18.241666666666667</v>
      </c>
      <c r="F53" s="15">
        <f>(0.334*0.5^((C53+5)/6.31))*'EF Adjustment Table'!I$12</f>
        <v>7.9200019752805604E-4</v>
      </c>
      <c r="G53" s="16">
        <f t="shared" si="18"/>
        <v>1.0560002633707415</v>
      </c>
      <c r="H53" s="15">
        <f>IF(Calculator!$E$11='GWP reference values'!$C$6,G53*'GWP reference values'!$D$6/1000,IF(Calculator!$E$11='GWP reference values'!$C$7,G53*'GWP reference values'!$D$7/1000,IF(Calculator!$E$11='GWP reference values'!$C$8,G53*'GWP reference values'!$D$8/1000,"Error")))</f>
        <v>2.9568007374380763E-2</v>
      </c>
      <c r="I53" s="15">
        <f t="shared" si="8"/>
        <v>18.271234674041047</v>
      </c>
      <c r="J53" s="14">
        <f t="shared" si="9"/>
        <v>50</v>
      </c>
    </row>
    <row r="55" spans="2:10" x14ac:dyDescent="0.25">
      <c r="B55" t="s">
        <v>258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J96"/>
  <sheetViews>
    <sheetView workbookViewId="0">
      <selection activeCell="H14" sqref="H14"/>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259</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Table'!$D$13</f>
        <v>23.964476984611213</v>
      </c>
      <c r="D7" s="10">
        <f>0.1341*C7-1.73</f>
        <v>1.4836363636363639</v>
      </c>
      <c r="E7" s="10">
        <f>D7/12*44</f>
        <v>5.4400000000000013</v>
      </c>
      <c r="F7" s="11">
        <f>(0.334*0.5^((C7+5)/6.31))*'EF Adjustment Table'!I$13</f>
        <v>2.1713435669710245E-2</v>
      </c>
      <c r="G7" s="12">
        <f>F7*1000*16/12</f>
        <v>28.951247559613662</v>
      </c>
      <c r="H7" s="74">
        <f>IF(Calculator!$E$11='GWP reference values'!$C$6,G7*'GWP reference values'!$D$6/1000,IF(Calculator!$E$11='GWP reference values'!$C$7,G7*'GWP reference values'!$D$7/1000,IF(Calculator!$E$11='GWP reference values'!$C$8,G7*'GWP reference values'!$D$8/1000,"Error")))</f>
        <v>0.81063493166918266</v>
      </c>
      <c r="I7" s="74">
        <f>SUM(H7,E7)</f>
        <v>6.2506349316691843</v>
      </c>
      <c r="J7" s="75">
        <f>C7</f>
        <v>23.964476984611213</v>
      </c>
    </row>
    <row r="8" spans="2:10" x14ac:dyDescent="0.25">
      <c r="B8" s="1" t="s">
        <v>249</v>
      </c>
      <c r="C8" s="3">
        <v>14</v>
      </c>
      <c r="D8" s="3">
        <f t="shared" ref="D8" si="0">0.1341*C8-1.73</f>
        <v>0.14739999999999998</v>
      </c>
      <c r="E8" s="3">
        <f t="shared" ref="E8" si="1">D8/12*44</f>
        <v>0.54046666666666665</v>
      </c>
      <c r="F8" s="2">
        <f>(0.334*0.5^((C8+5)/6.31))*'EF Adjustment Table'!I$12</f>
        <v>4.1320977813307472E-2</v>
      </c>
      <c r="G8" s="8">
        <f t="shared" ref="G8" si="2">F8*1000*16/12</f>
        <v>55.09463708440996</v>
      </c>
      <c r="H8" s="2">
        <f>IF(Calculator!$E$11='GWP reference values'!$C$6,G8*'GWP reference values'!$D$6/1000,IF(Calculator!$E$11='GWP reference values'!$C$7,G8*'GWP reference values'!$D$7/1000,IF(Calculator!$E$11='GWP reference values'!$C$8,G8*'GWP reference values'!$D$8/1000,"Error")))</f>
        <v>1.542649838363479</v>
      </c>
      <c r="I8" s="2">
        <f>SUM(H8,E8)</f>
        <v>2.0831165050301457</v>
      </c>
      <c r="J8" s="3">
        <f>C8</f>
        <v>14</v>
      </c>
    </row>
    <row r="9" spans="2:10" x14ac:dyDescent="0.25">
      <c r="C9" s="3">
        <v>15</v>
      </c>
      <c r="D9" s="3">
        <f t="shared" ref="D9:D94" si="3">0.1341*C9-1.73</f>
        <v>0.28149999999999986</v>
      </c>
      <c r="E9" s="3">
        <f t="shared" ref="E9:E94" si="4">D9/12*44</f>
        <v>1.032166666666666</v>
      </c>
      <c r="F9" s="2">
        <f>(0.334*0.5^((C9+5)/6.31))*'EF Adjustment Table'!I$12</f>
        <v>3.7022332434515866E-2</v>
      </c>
      <c r="G9" s="8">
        <f t="shared" ref="G9:G94" si="5">F9*1000*16/12</f>
        <v>49.363109912687825</v>
      </c>
      <c r="H9" s="2">
        <f>IF(Calculator!$E$11='GWP reference values'!$C$6,G9*'GWP reference values'!$D$6/1000,IF(Calculator!$E$11='GWP reference values'!$C$7,G9*'GWP reference values'!$D$7/1000,IF(Calculator!$E$11='GWP reference values'!$C$8,G9*'GWP reference values'!$D$8/1000,"Error")))</f>
        <v>1.382167077555259</v>
      </c>
      <c r="I9" s="2">
        <f t="shared" ref="I9:I10" si="6">SUM(H9,E9)</f>
        <v>2.414333744221925</v>
      </c>
      <c r="J9" s="3">
        <f t="shared" ref="J9:J10" si="7">C9</f>
        <v>15</v>
      </c>
    </row>
    <row r="10" spans="2:10" x14ac:dyDescent="0.25">
      <c r="C10" s="3">
        <v>16</v>
      </c>
      <c r="D10" s="3">
        <f t="shared" si="3"/>
        <v>0.41559999999999997</v>
      </c>
      <c r="E10" s="3">
        <f t="shared" si="4"/>
        <v>1.5238666666666665</v>
      </c>
      <c r="F10" s="2">
        <f>(0.334*0.5^((C10+5)/6.31))*'EF Adjustment Table'!I$12</f>
        <v>3.3170877637130468E-2</v>
      </c>
      <c r="G10" s="8">
        <f t="shared" si="5"/>
        <v>44.227836849507291</v>
      </c>
      <c r="H10" s="2">
        <f>IF(Calculator!$E$11='GWP reference values'!$C$6,G10*'GWP reference values'!$D$6/1000,IF(Calculator!$E$11='GWP reference values'!$C$7,G10*'GWP reference values'!$D$7/1000,IF(Calculator!$E$11='GWP reference values'!$C$8,G10*'GWP reference values'!$D$8/1000,"Error")))</f>
        <v>1.238379431786204</v>
      </c>
      <c r="I10" s="2">
        <f t="shared" si="6"/>
        <v>2.7622460984528705</v>
      </c>
      <c r="J10" s="3">
        <f t="shared" si="7"/>
        <v>16</v>
      </c>
    </row>
    <row r="11" spans="2:10" x14ac:dyDescent="0.25">
      <c r="C11" s="3">
        <v>17</v>
      </c>
      <c r="D11" s="3">
        <f t="shared" si="3"/>
        <v>0.54970000000000008</v>
      </c>
      <c r="E11" s="3">
        <f t="shared" si="4"/>
        <v>2.015566666666667</v>
      </c>
      <c r="F11" s="2">
        <f>(0.334*0.5^((C11+5)/6.31))*'EF Adjustment Table'!I$12</f>
        <v>2.9720091924615406E-2</v>
      </c>
      <c r="G11" s="8">
        <f t="shared" si="5"/>
        <v>39.626789232820542</v>
      </c>
      <c r="H11" s="2">
        <f>IF(Calculator!$E$11='GWP reference values'!$C$6,G11*'GWP reference values'!$D$6/1000,IF(Calculator!$E$11='GWP reference values'!$C$7,G11*'GWP reference values'!$D$7/1000,IF(Calculator!$E$11='GWP reference values'!$C$8,G11*'GWP reference values'!$D$8/1000,"Error")))</f>
        <v>1.109550098518975</v>
      </c>
      <c r="I11" s="2">
        <f t="shared" ref="I11:I74" si="8">SUM(H11,E11)</f>
        <v>3.1251167651856422</v>
      </c>
      <c r="J11" s="3">
        <f t="shared" ref="J11:J74" si="9">C11</f>
        <v>17</v>
      </c>
    </row>
    <row r="12" spans="2:10" x14ac:dyDescent="0.25">
      <c r="C12" s="3">
        <v>18</v>
      </c>
      <c r="D12" s="3">
        <f t="shared" ref="D12:D73" si="10">0.1341*C12-1.73</f>
        <v>0.68380000000000019</v>
      </c>
      <c r="E12" s="3">
        <f t="shared" ref="E12:E73" si="11">D12/12*44</f>
        <v>2.5072666666666676</v>
      </c>
      <c r="F12" s="2">
        <f>(0.334*0.5^((C12+5)/6.31))*'EF Adjustment Table'!I$12</f>
        <v>2.6628293458804034E-2</v>
      </c>
      <c r="G12" s="8">
        <f t="shared" ref="G12:G73" si="12">F12*1000*16/12</f>
        <v>35.504391278405379</v>
      </c>
      <c r="H12" s="2">
        <f>IF(Calculator!$E$11='GWP reference values'!$C$6,G12*'GWP reference values'!$D$6/1000,IF(Calculator!$E$11='GWP reference values'!$C$7,G12*'GWP reference values'!$D$7/1000,IF(Calculator!$E$11='GWP reference values'!$C$8,G12*'GWP reference values'!$D$8/1000,"Error")))</f>
        <v>0.9941229557953507</v>
      </c>
      <c r="I12" s="2">
        <f t="shared" si="8"/>
        <v>3.5013896224620185</v>
      </c>
      <c r="J12" s="3">
        <f t="shared" si="9"/>
        <v>18</v>
      </c>
    </row>
    <row r="13" spans="2:10" x14ac:dyDescent="0.25">
      <c r="C13" s="3">
        <v>19</v>
      </c>
      <c r="D13" s="3">
        <f t="shared" si="10"/>
        <v>0.81789999999999985</v>
      </c>
      <c r="E13" s="3">
        <f t="shared" si="11"/>
        <v>2.9989666666666661</v>
      </c>
      <c r="F13" s="2">
        <f>(0.334*0.5^((C13+5)/6.31))*'EF Adjustment Table'!I$12</f>
        <v>2.385813658742111E-2</v>
      </c>
      <c r="G13" s="8">
        <f t="shared" si="12"/>
        <v>31.810848783228149</v>
      </c>
      <c r="H13" s="2">
        <f>IF(Calculator!$E$11='GWP reference values'!$C$6,G13*'GWP reference values'!$D$6/1000,IF(Calculator!$E$11='GWP reference values'!$C$7,G13*'GWP reference values'!$D$7/1000,IF(Calculator!$E$11='GWP reference values'!$C$8,G13*'GWP reference values'!$D$8/1000,"Error")))</f>
        <v>0.89070376593038814</v>
      </c>
      <c r="I13" s="2">
        <f t="shared" si="8"/>
        <v>3.8896704325970544</v>
      </c>
      <c r="J13" s="3">
        <f t="shared" si="9"/>
        <v>19</v>
      </c>
    </row>
    <row r="14" spans="2:10" x14ac:dyDescent="0.25">
      <c r="C14" s="3">
        <v>20</v>
      </c>
      <c r="D14" s="3">
        <f t="shared" si="10"/>
        <v>0.95199999999999996</v>
      </c>
      <c r="E14" s="3">
        <f t="shared" si="11"/>
        <v>3.4906666666666664</v>
      </c>
      <c r="F14" s="2">
        <f>(0.334*0.5^((C14+5)/6.31))*'EF Adjustment Table'!I$12</f>
        <v>2.1376160748140076E-2</v>
      </c>
      <c r="G14" s="8">
        <f t="shared" si="12"/>
        <v>28.50154766418677</v>
      </c>
      <c r="H14" s="2">
        <f>IF(Calculator!$E$11='GWP reference values'!$C$6,G14*'GWP reference values'!$D$6/1000,IF(Calculator!$E$11='GWP reference values'!$C$7,G14*'GWP reference values'!$D$7/1000,IF(Calculator!$E$11='GWP reference values'!$C$8,G14*'GWP reference values'!$D$8/1000,"Error")))</f>
        <v>0.79804333459722954</v>
      </c>
      <c r="I14" s="2">
        <f t="shared" si="8"/>
        <v>4.2887100012638957</v>
      </c>
      <c r="J14" s="3">
        <f t="shared" si="9"/>
        <v>20</v>
      </c>
    </row>
    <row r="15" spans="2:10" x14ac:dyDescent="0.25">
      <c r="C15" s="3">
        <v>21</v>
      </c>
      <c r="D15" s="3">
        <f t="shared" si="10"/>
        <v>1.0861000000000001</v>
      </c>
      <c r="E15" s="3">
        <f t="shared" si="11"/>
        <v>3.9823666666666671</v>
      </c>
      <c r="F15" s="2">
        <f>(0.334*0.5^((C15+5)/6.31))*'EF Adjustment Table'!I$12</f>
        <v>1.9152386300413764E-2</v>
      </c>
      <c r="G15" s="8">
        <f t="shared" si="12"/>
        <v>25.53651506721835</v>
      </c>
      <c r="H15" s="2">
        <f>IF(Calculator!$E$11='GWP reference values'!$C$6,G15*'GWP reference values'!$D$6/1000,IF(Calculator!$E$11='GWP reference values'!$C$7,G15*'GWP reference values'!$D$7/1000,IF(Calculator!$E$11='GWP reference values'!$C$8,G15*'GWP reference values'!$D$8/1000,"Error")))</f>
        <v>0.71502242188211385</v>
      </c>
      <c r="I15" s="2">
        <f t="shared" si="8"/>
        <v>4.697389088548781</v>
      </c>
      <c r="J15" s="3">
        <f t="shared" si="9"/>
        <v>21</v>
      </c>
    </row>
    <row r="16" spans="2:10" x14ac:dyDescent="0.25">
      <c r="C16" s="3">
        <v>22</v>
      </c>
      <c r="D16" s="3">
        <f t="shared" si="10"/>
        <v>1.2201999999999997</v>
      </c>
      <c r="E16" s="3">
        <f t="shared" si="11"/>
        <v>4.4740666666666655</v>
      </c>
      <c r="F16" s="2">
        <f>(0.334*0.5^((C16+5)/6.31))*'EF Adjustment Table'!I$12</f>
        <v>1.7159952403155137E-2</v>
      </c>
      <c r="G16" s="8">
        <f t="shared" si="12"/>
        <v>22.879936537540186</v>
      </c>
      <c r="H16" s="2">
        <f>IF(Calculator!$E$11='GWP reference values'!$C$6,G16*'GWP reference values'!$D$6/1000,IF(Calculator!$E$11='GWP reference values'!$C$7,G16*'GWP reference values'!$D$7/1000,IF(Calculator!$E$11='GWP reference values'!$C$8,G16*'GWP reference values'!$D$8/1000,"Error")))</f>
        <v>0.64063822305112528</v>
      </c>
      <c r="I16" s="2">
        <f t="shared" si="8"/>
        <v>5.1147048897177907</v>
      </c>
      <c r="J16" s="3">
        <f t="shared" si="9"/>
        <v>22</v>
      </c>
    </row>
    <row r="17" spans="3:10" x14ac:dyDescent="0.25">
      <c r="C17" s="3">
        <v>23</v>
      </c>
      <c r="D17" s="3">
        <f t="shared" si="10"/>
        <v>1.3542999999999998</v>
      </c>
      <c r="E17" s="3">
        <f t="shared" si="11"/>
        <v>4.9657666666666662</v>
      </c>
      <c r="F17" s="2">
        <f>(0.334*0.5^((C17+5)/6.31))*'EF Adjustment Table'!I$12</f>
        <v>1.5374792564213697E-2</v>
      </c>
      <c r="G17" s="8">
        <f t="shared" si="12"/>
        <v>20.499723418951596</v>
      </c>
      <c r="H17" s="2">
        <f>IF(Calculator!$E$11='GWP reference values'!$C$6,G17*'GWP reference values'!$D$6/1000,IF(Calculator!$E$11='GWP reference values'!$C$7,G17*'GWP reference values'!$D$7/1000,IF(Calculator!$E$11='GWP reference values'!$C$8,G17*'GWP reference values'!$D$8/1000,"Error")))</f>
        <v>0.57399225573064472</v>
      </c>
      <c r="I17" s="2">
        <f t="shared" si="8"/>
        <v>5.5397589223973114</v>
      </c>
      <c r="J17" s="3">
        <f t="shared" si="9"/>
        <v>23</v>
      </c>
    </row>
    <row r="18" spans="3:10" x14ac:dyDescent="0.25">
      <c r="C18" s="3">
        <v>24</v>
      </c>
      <c r="D18" s="3">
        <f t="shared" si="10"/>
        <v>1.4883999999999999</v>
      </c>
      <c r="E18" s="3">
        <f t="shared" si="11"/>
        <v>5.4574666666666669</v>
      </c>
      <c r="F18" s="2">
        <f>(0.334*0.5^((C18+5)/6.31))*'EF Adjustment Table'!I$12</f>
        <v>1.377534394262875E-2</v>
      </c>
      <c r="G18" s="8">
        <f t="shared" si="12"/>
        <v>18.367125256838332</v>
      </c>
      <c r="H18" s="2">
        <f>IF(Calculator!$E$11='GWP reference values'!$C$6,G18*'GWP reference values'!$D$6/1000,IF(Calculator!$E$11='GWP reference values'!$C$7,G18*'GWP reference values'!$D$7/1000,IF(Calculator!$E$11='GWP reference values'!$C$8,G18*'GWP reference values'!$D$8/1000,"Error")))</f>
        <v>0.51427950719147331</v>
      </c>
      <c r="I18" s="2">
        <f t="shared" si="8"/>
        <v>5.9717461738581399</v>
      </c>
      <c r="J18" s="3">
        <f t="shared" si="9"/>
        <v>24</v>
      </c>
    </row>
    <row r="19" spans="3:10" x14ac:dyDescent="0.25">
      <c r="C19" s="3">
        <v>25</v>
      </c>
      <c r="D19" s="3">
        <f t="shared" si="10"/>
        <v>1.6225000000000001</v>
      </c>
      <c r="E19" s="3">
        <f t="shared" si="11"/>
        <v>5.9491666666666676</v>
      </c>
      <c r="F19" s="2">
        <f>(0.334*0.5^((C19+5)/6.31))*'EF Adjustment Table'!I$12</f>
        <v>1.2342286892338527E-2</v>
      </c>
      <c r="G19" s="8">
        <f t="shared" si="12"/>
        <v>16.456382523118034</v>
      </c>
      <c r="H19" s="2">
        <f>IF(Calculator!$E$11='GWP reference values'!$C$6,G19*'GWP reference values'!$D$6/1000,IF(Calculator!$E$11='GWP reference values'!$C$7,G19*'GWP reference values'!$D$7/1000,IF(Calculator!$E$11='GWP reference values'!$C$8,G19*'GWP reference values'!$D$8/1000,"Error")))</f>
        <v>0.46077871064730491</v>
      </c>
      <c r="I19" s="2">
        <f t="shared" si="8"/>
        <v>6.4099453773139725</v>
      </c>
      <c r="J19" s="3">
        <f t="shared" si="9"/>
        <v>25</v>
      </c>
    </row>
    <row r="20" spans="3:10" x14ac:dyDescent="0.25">
      <c r="C20" s="3">
        <v>26</v>
      </c>
      <c r="D20" s="3">
        <f t="shared" si="10"/>
        <v>1.7566000000000002</v>
      </c>
      <c r="E20" s="3">
        <f t="shared" si="11"/>
        <v>6.4408666666666665</v>
      </c>
      <c r="F20" s="2">
        <f>(0.334*0.5^((C20+5)/6.31))*'EF Adjustment Table'!I$12</f>
        <v>1.1058311601308863E-2</v>
      </c>
      <c r="G20" s="8">
        <f t="shared" si="12"/>
        <v>14.744415468411818</v>
      </c>
      <c r="H20" s="2">
        <f>IF(Calculator!$E$11='GWP reference values'!$C$6,G20*'GWP reference values'!$D$6/1000,IF(Calculator!$E$11='GWP reference values'!$C$7,G20*'GWP reference values'!$D$7/1000,IF(Calculator!$E$11='GWP reference values'!$C$8,G20*'GWP reference values'!$D$8/1000,"Error")))</f>
        <v>0.41284363311553091</v>
      </c>
      <c r="I20" s="2">
        <f t="shared" si="8"/>
        <v>6.8537102997821977</v>
      </c>
      <c r="J20" s="3">
        <f t="shared" si="9"/>
        <v>26</v>
      </c>
    </row>
    <row r="21" spans="3:10" x14ac:dyDescent="0.25">
      <c r="C21" s="3">
        <v>27</v>
      </c>
      <c r="D21" s="3">
        <f t="shared" si="10"/>
        <v>1.8906999999999998</v>
      </c>
      <c r="E21" s="3">
        <f t="shared" si="11"/>
        <v>6.9325666666666663</v>
      </c>
      <c r="F21" s="2">
        <f>(0.334*0.5^((C21+5)/6.31))*'EF Adjustment Table'!I$12</f>
        <v>9.9079090073292252E-3</v>
      </c>
      <c r="G21" s="8">
        <f t="shared" si="12"/>
        <v>13.210545343105634</v>
      </c>
      <c r="H21" s="2">
        <f>IF(Calculator!$E$11='GWP reference values'!$C$6,G21*'GWP reference values'!$D$6/1000,IF(Calculator!$E$11='GWP reference values'!$C$7,G21*'GWP reference values'!$D$7/1000,IF(Calculator!$E$11='GWP reference values'!$C$8,G21*'GWP reference values'!$D$8/1000,"Error")))</f>
        <v>0.36989526960695773</v>
      </c>
      <c r="I21" s="2">
        <f t="shared" si="8"/>
        <v>7.3024619362736241</v>
      </c>
      <c r="J21" s="3">
        <f t="shared" si="9"/>
        <v>27</v>
      </c>
    </row>
    <row r="22" spans="3:10" x14ac:dyDescent="0.25">
      <c r="C22" s="3">
        <v>28</v>
      </c>
      <c r="D22" s="3">
        <f t="shared" si="10"/>
        <v>2.0247999999999999</v>
      </c>
      <c r="E22" s="3">
        <f t="shared" si="11"/>
        <v>7.4242666666666661</v>
      </c>
      <c r="F22" s="2">
        <f>(0.334*0.5^((C22+5)/6.31))*'EF Adjustment Table'!I$12</f>
        <v>8.8771834649601106E-3</v>
      </c>
      <c r="G22" s="8">
        <f t="shared" si="12"/>
        <v>11.836244619946813</v>
      </c>
      <c r="H22" s="2">
        <f>IF(Calculator!$E$11='GWP reference values'!$C$6,G22*'GWP reference values'!$D$6/1000,IF(Calculator!$E$11='GWP reference values'!$C$7,G22*'GWP reference values'!$D$7/1000,IF(Calculator!$E$11='GWP reference values'!$C$8,G22*'GWP reference values'!$D$8/1000,"Error")))</f>
        <v>0.33141484935851079</v>
      </c>
      <c r="I22" s="2">
        <f t="shared" si="8"/>
        <v>7.7556815160251773</v>
      </c>
      <c r="J22" s="3">
        <f t="shared" si="9"/>
        <v>28</v>
      </c>
    </row>
    <row r="23" spans="3:10" x14ac:dyDescent="0.25">
      <c r="C23" s="3">
        <v>29</v>
      </c>
      <c r="D23" s="3">
        <f t="shared" si="10"/>
        <v>2.1589</v>
      </c>
      <c r="E23" s="3">
        <f t="shared" si="11"/>
        <v>7.9159666666666668</v>
      </c>
      <c r="F23" s="2">
        <f>(0.334*0.5^((C23+5)/6.31))*'EF Adjustment Table'!I$12</f>
        <v>7.9536849008470731E-3</v>
      </c>
      <c r="G23" s="8">
        <f t="shared" si="12"/>
        <v>10.604913201129431</v>
      </c>
      <c r="H23" s="2">
        <f>IF(Calculator!$E$11='GWP reference values'!$C$6,G23*'GWP reference values'!$D$6/1000,IF(Calculator!$E$11='GWP reference values'!$C$7,G23*'GWP reference values'!$D$7/1000,IF(Calculator!$E$11='GWP reference values'!$C$8,G23*'GWP reference values'!$D$8/1000,"Error")))</f>
        <v>0.29693756963162404</v>
      </c>
      <c r="I23" s="2">
        <f t="shared" si="8"/>
        <v>8.2129042362982911</v>
      </c>
      <c r="J23" s="3">
        <f t="shared" si="9"/>
        <v>29</v>
      </c>
    </row>
    <row r="24" spans="3:10" x14ac:dyDescent="0.25">
      <c r="C24" s="3">
        <v>30</v>
      </c>
      <c r="D24" s="3">
        <f t="shared" si="10"/>
        <v>2.2929999999999997</v>
      </c>
      <c r="E24" s="3">
        <f t="shared" si="11"/>
        <v>8.4076666666666657</v>
      </c>
      <c r="F24" s="2">
        <f>(0.334*0.5^((C24+5)/6.31))*'EF Adjustment Table'!I$12</f>
        <v>7.1262584300151085E-3</v>
      </c>
      <c r="G24" s="8">
        <f t="shared" si="12"/>
        <v>9.5016779066868118</v>
      </c>
      <c r="H24" s="2">
        <f>IF(Calculator!$E$11='GWP reference values'!$C$6,G24*'GWP reference values'!$D$6/1000,IF(Calculator!$E$11='GWP reference values'!$C$7,G24*'GWP reference values'!$D$7/1000,IF(Calculator!$E$11='GWP reference values'!$C$8,G24*'GWP reference values'!$D$8/1000,"Error")))</f>
        <v>0.26604698138723076</v>
      </c>
      <c r="I24" s="2">
        <f t="shared" si="8"/>
        <v>8.6737136480538961</v>
      </c>
      <c r="J24" s="3">
        <f t="shared" si="9"/>
        <v>30</v>
      </c>
    </row>
    <row r="25" spans="3:10" x14ac:dyDescent="0.25">
      <c r="C25" s="3">
        <v>31</v>
      </c>
      <c r="D25" s="3">
        <f t="shared" si="10"/>
        <v>2.4270999999999998</v>
      </c>
      <c r="E25" s="3">
        <f t="shared" si="11"/>
        <v>8.8993666666666655</v>
      </c>
      <c r="F25" s="2">
        <f>(0.334*0.5^((C25+5)/6.31))*'EF Adjustment Table'!I$12</f>
        <v>6.3849096166674795E-3</v>
      </c>
      <c r="G25" s="8">
        <f t="shared" si="12"/>
        <v>8.5132128222233057</v>
      </c>
      <c r="H25" s="2">
        <f>IF(Calculator!$E$11='GWP reference values'!$C$6,G25*'GWP reference values'!$D$6/1000,IF(Calculator!$E$11='GWP reference values'!$C$7,G25*'GWP reference values'!$D$7/1000,IF(Calculator!$E$11='GWP reference values'!$C$8,G25*'GWP reference values'!$D$8/1000,"Error")))</f>
        <v>0.23836995902225255</v>
      </c>
      <c r="I25" s="2">
        <f t="shared" si="8"/>
        <v>9.1377366256889179</v>
      </c>
      <c r="J25" s="3">
        <f t="shared" si="9"/>
        <v>31</v>
      </c>
    </row>
    <row r="26" spans="3:10" x14ac:dyDescent="0.25">
      <c r="C26" s="3">
        <v>32</v>
      </c>
      <c r="D26" s="3">
        <f t="shared" si="10"/>
        <v>2.5611999999999999</v>
      </c>
      <c r="E26" s="3">
        <f t="shared" si="11"/>
        <v>9.3910666666666671</v>
      </c>
      <c r="F26" s="2">
        <f>(0.334*0.5^((C26+5)/6.31))*'EF Adjustment Table'!I$12</f>
        <v>5.7206837519820936E-3</v>
      </c>
      <c r="G26" s="8">
        <f t="shared" si="12"/>
        <v>7.6275783359761249</v>
      </c>
      <c r="H26" s="2">
        <f>IF(Calculator!$E$11='GWP reference values'!$C$6,G26*'GWP reference values'!$D$6/1000,IF(Calculator!$E$11='GWP reference values'!$C$7,G26*'GWP reference values'!$D$7/1000,IF(Calculator!$E$11='GWP reference values'!$C$8,G26*'GWP reference values'!$D$8/1000,"Error")))</f>
        <v>0.2135721934073315</v>
      </c>
      <c r="I26" s="2">
        <f t="shared" si="8"/>
        <v>9.6046388600739991</v>
      </c>
      <c r="J26" s="3">
        <f t="shared" si="9"/>
        <v>32</v>
      </c>
    </row>
    <row r="27" spans="3:10" x14ac:dyDescent="0.25">
      <c r="C27" s="3">
        <v>33</v>
      </c>
      <c r="D27" s="3">
        <f t="shared" si="10"/>
        <v>2.6953</v>
      </c>
      <c r="E27" s="3">
        <f t="shared" si="11"/>
        <v>9.8827666666666669</v>
      </c>
      <c r="F27" s="2">
        <f>(0.334*0.5^((C27+5)/6.31))*'EF Adjustment Table'!I$12</f>
        <v>5.1255576907090136E-3</v>
      </c>
      <c r="G27" s="8">
        <f t="shared" si="12"/>
        <v>6.8340769209453507</v>
      </c>
      <c r="H27" s="2">
        <f>IF(Calculator!$E$11='GWP reference values'!$C$6,G27*'GWP reference values'!$D$6/1000,IF(Calculator!$E$11='GWP reference values'!$C$7,G27*'GWP reference values'!$D$7/1000,IF(Calculator!$E$11='GWP reference values'!$C$8,G27*'GWP reference values'!$D$8/1000,"Error")))</f>
        <v>0.19135415378646983</v>
      </c>
      <c r="I27" s="2">
        <f t="shared" si="8"/>
        <v>10.074120820453137</v>
      </c>
      <c r="J27" s="3">
        <f t="shared" si="9"/>
        <v>33</v>
      </c>
    </row>
    <row r="28" spans="3:10" x14ac:dyDescent="0.25">
      <c r="C28" s="3">
        <v>34</v>
      </c>
      <c r="D28" s="3">
        <f t="shared" si="10"/>
        <v>2.8294000000000001</v>
      </c>
      <c r="E28" s="3">
        <f t="shared" si="11"/>
        <v>10.374466666666667</v>
      </c>
      <c r="F28" s="2">
        <f>(0.334*0.5^((C28+5)/6.31))*'EF Adjustment Table'!I$12</f>
        <v>4.5923429400696802E-3</v>
      </c>
      <c r="G28" s="8">
        <f t="shared" si="12"/>
        <v>6.1231239200929073</v>
      </c>
      <c r="H28" s="2">
        <f>IF(Calculator!$E$11='GWP reference values'!$C$6,G28*'GWP reference values'!$D$6/1000,IF(Calculator!$E$11='GWP reference values'!$C$7,G28*'GWP reference values'!$D$7/1000,IF(Calculator!$E$11='GWP reference values'!$C$8,G28*'GWP reference values'!$D$8/1000,"Error")))</f>
        <v>0.17144746976260139</v>
      </c>
      <c r="I28" s="2">
        <f t="shared" si="8"/>
        <v>10.545914136429268</v>
      </c>
      <c r="J28" s="3">
        <f t="shared" si="9"/>
        <v>34</v>
      </c>
    </row>
    <row r="29" spans="3:10" x14ac:dyDescent="0.25">
      <c r="C29" s="3">
        <v>35</v>
      </c>
      <c r="D29" s="3">
        <f t="shared" si="10"/>
        <v>2.9635000000000002</v>
      </c>
      <c r="E29" s="3">
        <f t="shared" si="11"/>
        <v>10.866166666666668</v>
      </c>
      <c r="F29" s="2">
        <f>(0.334*0.5^((C29+5)/6.31))*'EF Adjustment Table'!I$12</f>
        <v>4.1145988303744061E-3</v>
      </c>
      <c r="G29" s="8">
        <f t="shared" si="12"/>
        <v>5.4861317738325406</v>
      </c>
      <c r="H29" s="2">
        <f>IF(Calculator!$E$11='GWP reference values'!$C$6,G29*'GWP reference values'!$D$6/1000,IF(Calculator!$E$11='GWP reference values'!$C$7,G29*'GWP reference values'!$D$7/1000,IF(Calculator!$E$11='GWP reference values'!$C$8,G29*'GWP reference values'!$D$8/1000,"Error")))</f>
        <v>0.15361168966731115</v>
      </c>
      <c r="I29" s="2">
        <f t="shared" si="8"/>
        <v>11.01977835633398</v>
      </c>
      <c r="J29" s="3">
        <f t="shared" si="9"/>
        <v>35</v>
      </c>
    </row>
    <row r="30" spans="3:10" x14ac:dyDescent="0.25">
      <c r="C30" s="3">
        <v>36</v>
      </c>
      <c r="D30" s="3">
        <f t="shared" si="10"/>
        <v>3.0976000000000004</v>
      </c>
      <c r="E30" s="3">
        <f t="shared" si="11"/>
        <v>11.357866666666668</v>
      </c>
      <c r="F30" s="2">
        <f>(0.334*0.5^((C30+5)/6.31))*'EF Adjustment Table'!I$12</f>
        <v>3.6865547185510363E-3</v>
      </c>
      <c r="G30" s="8">
        <f t="shared" si="12"/>
        <v>4.9154062914013812</v>
      </c>
      <c r="H30" s="2">
        <f>IF(Calculator!$E$11='GWP reference values'!$C$6,G30*'GWP reference values'!$D$6/1000,IF(Calculator!$E$11='GWP reference values'!$C$7,G30*'GWP reference values'!$D$7/1000,IF(Calculator!$E$11='GWP reference values'!$C$8,G30*'GWP reference values'!$D$8/1000,"Error")))</f>
        <v>0.13763137615923868</v>
      </c>
      <c r="I30" s="2">
        <f t="shared" si="8"/>
        <v>11.495498042825906</v>
      </c>
      <c r="J30" s="3">
        <f t="shared" si="9"/>
        <v>36</v>
      </c>
    </row>
    <row r="31" spans="3:10" x14ac:dyDescent="0.25">
      <c r="C31" s="3">
        <v>37</v>
      </c>
      <c r="D31" s="3">
        <f t="shared" si="10"/>
        <v>3.2316999999999996</v>
      </c>
      <c r="E31" s="3">
        <f t="shared" si="11"/>
        <v>11.849566666666666</v>
      </c>
      <c r="F31" s="2">
        <f>(0.334*0.5^((C31+5)/6.31))*'EF Adjustment Table'!I$12</f>
        <v>3.3030402848858637E-3</v>
      </c>
      <c r="G31" s="8">
        <f t="shared" si="12"/>
        <v>4.4040537131811517</v>
      </c>
      <c r="H31" s="2">
        <f>IF(Calculator!$E$11='GWP reference values'!$C$6,G31*'GWP reference values'!$D$6/1000,IF(Calculator!$E$11='GWP reference values'!$C$7,G31*'GWP reference values'!$D$7/1000,IF(Calculator!$E$11='GWP reference values'!$C$8,G31*'GWP reference values'!$D$8/1000,"Error")))</f>
        <v>0.12331350396907224</v>
      </c>
      <c r="I31" s="2">
        <f t="shared" si="8"/>
        <v>11.972880170635738</v>
      </c>
      <c r="J31" s="3">
        <f t="shared" si="9"/>
        <v>37</v>
      </c>
    </row>
    <row r="32" spans="3:10" x14ac:dyDescent="0.25">
      <c r="C32" s="3">
        <v>38</v>
      </c>
      <c r="D32" s="3">
        <f t="shared" si="10"/>
        <v>3.3657999999999997</v>
      </c>
      <c r="E32" s="3">
        <f t="shared" si="11"/>
        <v>12.341266666666666</v>
      </c>
      <c r="F32" s="2">
        <f>(0.334*0.5^((C32+5)/6.31))*'EF Adjustment Table'!I$12</f>
        <v>2.9594230810351201E-3</v>
      </c>
      <c r="G32" s="8">
        <f t="shared" si="12"/>
        <v>3.94589744138016</v>
      </c>
      <c r="H32" s="2">
        <f>IF(Calculator!$E$11='GWP reference values'!$C$6,G32*'GWP reference values'!$D$6/1000,IF(Calculator!$E$11='GWP reference values'!$C$7,G32*'GWP reference values'!$D$7/1000,IF(Calculator!$E$11='GWP reference values'!$C$8,G32*'GWP reference values'!$D$8/1000,"Error")))</f>
        <v>0.11048512835864448</v>
      </c>
      <c r="I32" s="2">
        <f t="shared" si="8"/>
        <v>12.451751795025311</v>
      </c>
      <c r="J32" s="3">
        <f t="shared" si="9"/>
        <v>38</v>
      </c>
    </row>
    <row r="33" spans="3:10" x14ac:dyDescent="0.25">
      <c r="C33" s="3">
        <v>39</v>
      </c>
      <c r="D33" s="3">
        <f t="shared" si="10"/>
        <v>3.4998999999999998</v>
      </c>
      <c r="E33" s="3">
        <f t="shared" si="11"/>
        <v>12.832966666666666</v>
      </c>
      <c r="F33" s="2">
        <f>(0.334*0.5^((C33+5)/6.31))*'EF Adjustment Table'!I$12</f>
        <v>2.6515525749532479E-3</v>
      </c>
      <c r="G33" s="8">
        <f t="shared" si="12"/>
        <v>3.5354034332709969</v>
      </c>
      <c r="H33" s="2">
        <f>IF(Calculator!$E$11='GWP reference values'!$C$6,G33*'GWP reference values'!$D$6/1000,IF(Calculator!$E$11='GWP reference values'!$C$7,G33*'GWP reference values'!$D$7/1000,IF(Calculator!$E$11='GWP reference values'!$C$8,G33*'GWP reference values'!$D$8/1000,"Error")))</f>
        <v>9.8991296131587914E-2</v>
      </c>
      <c r="I33" s="2">
        <f t="shared" si="8"/>
        <v>12.931957962798254</v>
      </c>
      <c r="J33" s="3">
        <f t="shared" si="9"/>
        <v>39</v>
      </c>
    </row>
    <row r="34" spans="3:10" x14ac:dyDescent="0.25">
      <c r="C34" s="3">
        <v>40</v>
      </c>
      <c r="D34" s="3">
        <f t="shared" si="10"/>
        <v>3.6339999999999999</v>
      </c>
      <c r="E34" s="3">
        <f t="shared" si="11"/>
        <v>13.324666666666667</v>
      </c>
      <c r="F34" s="2">
        <f>(0.334*0.5^((C34+5)/6.31))*'EF Adjustment Table'!I$12</f>
        <v>2.3757100168597884E-3</v>
      </c>
      <c r="G34" s="8">
        <f t="shared" si="12"/>
        <v>3.1676133558130513</v>
      </c>
      <c r="H34" s="2">
        <f>IF(Calculator!$E$11='GWP reference values'!$C$6,G34*'GWP reference values'!$D$6/1000,IF(Calculator!$E$11='GWP reference values'!$C$7,G34*'GWP reference values'!$D$7/1000,IF(Calculator!$E$11='GWP reference values'!$C$8,G34*'GWP reference values'!$D$8/1000,"Error")))</f>
        <v>8.8693173962765423E-2</v>
      </c>
      <c r="I34" s="2">
        <f t="shared" si="8"/>
        <v>13.413359840629433</v>
      </c>
      <c r="J34" s="3">
        <f t="shared" si="9"/>
        <v>40</v>
      </c>
    </row>
    <row r="35" spans="3:10" x14ac:dyDescent="0.25">
      <c r="C35" s="3">
        <v>41</v>
      </c>
      <c r="D35" s="3">
        <f t="shared" si="10"/>
        <v>3.7681</v>
      </c>
      <c r="E35" s="3">
        <f t="shared" si="11"/>
        <v>13.816366666666667</v>
      </c>
      <c r="F35" s="2">
        <f>(0.334*0.5^((C35+5)/6.31))*'EF Adjustment Table'!I$12</f>
        <v>2.1285635206789951E-3</v>
      </c>
      <c r="G35" s="8">
        <f t="shared" si="12"/>
        <v>2.8380846942386602</v>
      </c>
      <c r="H35" s="2">
        <f>IF(Calculator!$E$11='GWP reference values'!$C$6,G35*'GWP reference values'!$D$6/1000,IF(Calculator!$E$11='GWP reference values'!$C$7,G35*'GWP reference values'!$D$7/1000,IF(Calculator!$E$11='GWP reference values'!$C$8,G35*'GWP reference values'!$D$8/1000,"Error")))</f>
        <v>7.9466371438682487E-2</v>
      </c>
      <c r="I35" s="2">
        <f t="shared" si="8"/>
        <v>13.89583303810535</v>
      </c>
      <c r="J35" s="3">
        <f t="shared" si="9"/>
        <v>41</v>
      </c>
    </row>
    <row r="36" spans="3:10" x14ac:dyDescent="0.25">
      <c r="C36" s="3">
        <v>42</v>
      </c>
      <c r="D36" s="3">
        <f t="shared" si="10"/>
        <v>3.9022000000000001</v>
      </c>
      <c r="E36" s="3">
        <f t="shared" si="11"/>
        <v>14.308066666666667</v>
      </c>
      <c r="F36" s="2">
        <f>(0.334*0.5^((C36+5)/6.31))*'EF Adjustment Table'!I$12</f>
        <v>1.9071278183833819E-3</v>
      </c>
      <c r="G36" s="8">
        <f t="shared" si="12"/>
        <v>2.5428370911778426</v>
      </c>
      <c r="H36" s="2">
        <f>IF(Calculator!$E$11='GWP reference values'!$C$6,G36*'GWP reference values'!$D$6/1000,IF(Calculator!$E$11='GWP reference values'!$C$7,G36*'GWP reference values'!$D$7/1000,IF(Calculator!$E$11='GWP reference values'!$C$8,G36*'GWP reference values'!$D$8/1000,"Error")))</f>
        <v>7.1199438552979583E-2</v>
      </c>
      <c r="I36" s="2">
        <f t="shared" si="8"/>
        <v>14.379266105219646</v>
      </c>
      <c r="J36" s="3">
        <f t="shared" si="9"/>
        <v>42</v>
      </c>
    </row>
    <row r="37" spans="3:10" x14ac:dyDescent="0.25">
      <c r="C37" s="3">
        <v>43</v>
      </c>
      <c r="D37" s="3">
        <f t="shared" si="10"/>
        <v>4.0363000000000007</v>
      </c>
      <c r="E37" s="3">
        <f t="shared" si="11"/>
        <v>14.799766666666669</v>
      </c>
      <c r="F37" s="2">
        <f>(0.334*0.5^((C37+5)/6.31))*'EF Adjustment Table'!I$12</f>
        <v>1.7087282011163764E-3</v>
      </c>
      <c r="G37" s="8">
        <f t="shared" si="12"/>
        <v>2.2783042681551686</v>
      </c>
      <c r="H37" s="2">
        <f>IF(Calculator!$E$11='GWP reference values'!$C$6,G37*'GWP reference values'!$D$6/1000,IF(Calculator!$E$11='GWP reference values'!$C$7,G37*'GWP reference values'!$D$7/1000,IF(Calculator!$E$11='GWP reference values'!$C$8,G37*'GWP reference values'!$D$8/1000,"Error")))</f>
        <v>6.3792519508344719E-2</v>
      </c>
      <c r="I37" s="2">
        <f t="shared" si="8"/>
        <v>14.863559186175014</v>
      </c>
      <c r="J37" s="3">
        <f t="shared" si="9"/>
        <v>43</v>
      </c>
    </row>
    <row r="38" spans="3:10" x14ac:dyDescent="0.25">
      <c r="C38" s="3">
        <v>44</v>
      </c>
      <c r="D38" s="3">
        <f t="shared" si="10"/>
        <v>4.170399999999999</v>
      </c>
      <c r="E38" s="3">
        <f t="shared" si="11"/>
        <v>15.291466666666663</v>
      </c>
      <c r="F38" s="2">
        <f>(0.334*0.5^((C38+5)/6.31))*'EF Adjustment Table'!I$12</f>
        <v>1.5309682115409531E-3</v>
      </c>
      <c r="G38" s="8">
        <f t="shared" si="12"/>
        <v>2.0412909487212709</v>
      </c>
      <c r="H38" s="2">
        <f>IF(Calculator!$E$11='GWP reference values'!$C$6,G38*'GWP reference values'!$D$6/1000,IF(Calculator!$E$11='GWP reference values'!$C$7,G38*'GWP reference values'!$D$7/1000,IF(Calculator!$E$11='GWP reference values'!$C$8,G38*'GWP reference values'!$D$8/1000,"Error")))</f>
        <v>5.7156146564195591E-2</v>
      </c>
      <c r="I38" s="2">
        <f t="shared" si="8"/>
        <v>15.348622813230859</v>
      </c>
      <c r="J38" s="3">
        <f t="shared" si="9"/>
        <v>44</v>
      </c>
    </row>
    <row r="39" spans="3:10" x14ac:dyDescent="0.25">
      <c r="C39" s="3">
        <v>45</v>
      </c>
      <c r="D39" s="3">
        <f t="shared" si="10"/>
        <v>4.3044999999999991</v>
      </c>
      <c r="E39" s="3">
        <f t="shared" si="11"/>
        <v>15.783166666666663</v>
      </c>
      <c r="F39" s="2">
        <f>(0.334*0.5^((C39+5)/6.31))*'EF Adjustment Table'!I$12</f>
        <v>1.3717006971720675E-3</v>
      </c>
      <c r="G39" s="8">
        <f t="shared" si="12"/>
        <v>1.8289342628960901</v>
      </c>
      <c r="H39" s="2">
        <f>IF(Calculator!$E$11='GWP reference values'!$C$6,G39*'GWP reference values'!$D$6/1000,IF(Calculator!$E$11='GWP reference values'!$C$7,G39*'GWP reference values'!$D$7/1000,IF(Calculator!$E$11='GWP reference values'!$C$8,G39*'GWP reference values'!$D$8/1000,"Error")))</f>
        <v>5.1210159361090517E-2</v>
      </c>
      <c r="I39" s="2">
        <f t="shared" si="8"/>
        <v>15.834376826027754</v>
      </c>
      <c r="J39" s="3">
        <f t="shared" si="9"/>
        <v>45</v>
      </c>
    </row>
    <row r="40" spans="3:10" x14ac:dyDescent="0.25">
      <c r="C40" s="3">
        <v>46</v>
      </c>
      <c r="D40" s="3">
        <f t="shared" si="10"/>
        <v>4.4385999999999992</v>
      </c>
      <c r="E40" s="3">
        <f t="shared" si="11"/>
        <v>16.274866666666664</v>
      </c>
      <c r="F40" s="2">
        <f>(0.334*0.5^((C40+5)/6.31))*'EF Adjustment Table'!I$12</f>
        <v>1.2290018750477517E-3</v>
      </c>
      <c r="G40" s="8">
        <f t="shared" si="12"/>
        <v>1.6386691667303355</v>
      </c>
      <c r="H40" s="2">
        <f>IF(Calculator!$E$11='GWP reference values'!$C$6,G40*'GWP reference values'!$D$6/1000,IF(Calculator!$E$11='GWP reference values'!$C$7,G40*'GWP reference values'!$D$7/1000,IF(Calculator!$E$11='GWP reference values'!$C$8,G40*'GWP reference values'!$D$8/1000,"Error")))</f>
        <v>4.5882736668449393E-2</v>
      </c>
      <c r="I40" s="2">
        <f t="shared" si="8"/>
        <v>16.320749403335114</v>
      </c>
      <c r="J40" s="3">
        <f t="shared" si="9"/>
        <v>46</v>
      </c>
    </row>
    <row r="41" spans="3:10" x14ac:dyDescent="0.25">
      <c r="C41" s="3">
        <v>47</v>
      </c>
      <c r="D41" s="3">
        <f t="shared" si="10"/>
        <v>4.5726999999999993</v>
      </c>
      <c r="E41" s="3">
        <f t="shared" si="11"/>
        <v>16.766566666666662</v>
      </c>
      <c r="F41" s="2">
        <f>(0.334*0.5^((C41+5)/6.31))*'EF Adjustment Table'!I$12</f>
        <v>1.1011480944675925E-3</v>
      </c>
      <c r="G41" s="8">
        <f t="shared" si="12"/>
        <v>1.4681974592901232</v>
      </c>
      <c r="H41" s="2">
        <f>IF(Calculator!$E$11='GWP reference values'!$C$6,G41*'GWP reference values'!$D$6/1000,IF(Calculator!$E$11='GWP reference values'!$C$7,G41*'GWP reference values'!$D$7/1000,IF(Calculator!$E$11='GWP reference values'!$C$8,G41*'GWP reference values'!$D$8/1000,"Error")))</f>
        <v>4.1109528860123444E-2</v>
      </c>
      <c r="I41" s="2">
        <f t="shared" si="8"/>
        <v>16.807676195526785</v>
      </c>
      <c r="J41" s="3">
        <f t="shared" si="9"/>
        <v>47</v>
      </c>
    </row>
    <row r="42" spans="3:10" x14ac:dyDescent="0.25">
      <c r="C42" s="3">
        <v>48</v>
      </c>
      <c r="D42" s="3">
        <f t="shared" si="10"/>
        <v>4.7067999999999994</v>
      </c>
      <c r="E42" s="3">
        <f t="shared" si="11"/>
        <v>17.258266666666664</v>
      </c>
      <c r="F42" s="2">
        <f>(0.334*0.5^((C42+5)/6.31))*'EF Adjustment Table'!I$12</f>
        <v>9.8659501711703896E-4</v>
      </c>
      <c r="G42" s="8">
        <f t="shared" si="12"/>
        <v>1.3154600228227187</v>
      </c>
      <c r="H42" s="2">
        <f>IF(Calculator!$E$11='GWP reference values'!$C$6,G42*'GWP reference values'!$D$6/1000,IF(Calculator!$E$11='GWP reference values'!$C$7,G42*'GWP reference values'!$D$7/1000,IF(Calculator!$E$11='GWP reference values'!$C$8,G42*'GWP reference values'!$D$8/1000,"Error")))</f>
        <v>3.6832880639036121E-2</v>
      </c>
      <c r="I42" s="2">
        <f t="shared" si="8"/>
        <v>17.2950995473057</v>
      </c>
      <c r="J42" s="3">
        <f t="shared" si="9"/>
        <v>48</v>
      </c>
    </row>
    <row r="43" spans="3:10" x14ac:dyDescent="0.25">
      <c r="C43" s="3">
        <v>49</v>
      </c>
      <c r="D43" s="3">
        <f t="shared" si="10"/>
        <v>4.8408999999999995</v>
      </c>
      <c r="E43" s="3">
        <f t="shared" si="11"/>
        <v>17.749966666666666</v>
      </c>
      <c r="F43" s="2">
        <f>(0.334*0.5^((C43+5)/6.31))*'EF Adjustment Table'!I$12</f>
        <v>8.8395896309551123E-4</v>
      </c>
      <c r="G43" s="8">
        <f t="shared" si="12"/>
        <v>1.1786119507940149</v>
      </c>
      <c r="H43" s="2">
        <f>IF(Calculator!$E$11='GWP reference values'!$C$6,G43*'GWP reference values'!$D$6/1000,IF(Calculator!$E$11='GWP reference values'!$C$7,G43*'GWP reference values'!$D$7/1000,IF(Calculator!$E$11='GWP reference values'!$C$8,G43*'GWP reference values'!$D$8/1000,"Error")))</f>
        <v>3.300113462223242E-2</v>
      </c>
      <c r="I43" s="2">
        <f t="shared" si="8"/>
        <v>17.782967801288898</v>
      </c>
      <c r="J43" s="3">
        <f t="shared" si="9"/>
        <v>49</v>
      </c>
    </row>
    <row r="44" spans="3:10" x14ac:dyDescent="0.25">
      <c r="C44" s="3">
        <v>50</v>
      </c>
      <c r="D44" s="3">
        <f t="shared" si="10"/>
        <v>4.9749999999999996</v>
      </c>
      <c r="E44" s="3">
        <f t="shared" si="11"/>
        <v>18.241666666666667</v>
      </c>
      <c r="F44" s="2">
        <f>(0.334*0.5^((C44+5)/6.31))*'EF Adjustment Table'!I$12</f>
        <v>7.9200019752805604E-4</v>
      </c>
      <c r="G44" s="8">
        <f t="shared" si="12"/>
        <v>1.0560002633707415</v>
      </c>
      <c r="H44" s="2">
        <f>IF(Calculator!$E$11='GWP reference values'!$C$6,G44*'GWP reference values'!$D$6/1000,IF(Calculator!$E$11='GWP reference values'!$C$7,G44*'GWP reference values'!$D$7/1000,IF(Calculator!$E$11='GWP reference values'!$C$8,G44*'GWP reference values'!$D$8/1000,"Error")))</f>
        <v>2.9568007374380763E-2</v>
      </c>
      <c r="I44" s="2">
        <f t="shared" si="8"/>
        <v>18.271234674041047</v>
      </c>
      <c r="J44" s="3">
        <f t="shared" si="9"/>
        <v>50</v>
      </c>
    </row>
    <row r="45" spans="3:10" x14ac:dyDescent="0.25">
      <c r="C45" s="3">
        <v>51</v>
      </c>
      <c r="D45" s="3">
        <f t="shared" si="10"/>
        <v>5.1090999999999998</v>
      </c>
      <c r="E45" s="3">
        <f t="shared" si="11"/>
        <v>18.733366666666665</v>
      </c>
      <c r="F45" s="2">
        <f>(0.334*0.5^((C45+5)/6.31))*'EF Adjustment Table'!I$12</f>
        <v>7.0960795588053197E-4</v>
      </c>
      <c r="G45" s="8">
        <f t="shared" si="12"/>
        <v>0.94614394117404255</v>
      </c>
      <c r="H45" s="2">
        <f>IF(Calculator!$E$11='GWP reference values'!$C$6,G45*'GWP reference values'!$D$6/1000,IF(Calculator!$E$11='GWP reference values'!$C$7,G45*'GWP reference values'!$D$7/1000,IF(Calculator!$E$11='GWP reference values'!$C$8,G45*'GWP reference values'!$D$8/1000,"Error")))</f>
        <v>2.6492030352873189E-2</v>
      </c>
      <c r="I45" s="2">
        <f t="shared" si="8"/>
        <v>18.759858697019538</v>
      </c>
      <c r="J45" s="3">
        <f t="shared" si="9"/>
        <v>51</v>
      </c>
    </row>
    <row r="46" spans="3:10" x14ac:dyDescent="0.25">
      <c r="C46" s="3">
        <v>52</v>
      </c>
      <c r="D46" s="3">
        <f t="shared" si="10"/>
        <v>5.2431999999999999</v>
      </c>
      <c r="E46" s="3">
        <f t="shared" si="11"/>
        <v>19.225066666666667</v>
      </c>
      <c r="F46" s="2">
        <f>(0.334*0.5^((C46+5)/6.31))*'EF Adjustment Table'!I$12</f>
        <v>6.357870270999634E-4</v>
      </c>
      <c r="G46" s="8">
        <f t="shared" si="12"/>
        <v>0.8477160361332845</v>
      </c>
      <c r="H46" s="2">
        <f>IF(Calculator!$E$11='GWP reference values'!$C$6,G46*'GWP reference values'!$D$6/1000,IF(Calculator!$E$11='GWP reference values'!$C$7,G46*'GWP reference values'!$D$7/1000,IF(Calculator!$E$11='GWP reference values'!$C$8,G46*'GWP reference values'!$D$8/1000,"Error")))</f>
        <v>2.3736049011731965E-2</v>
      </c>
      <c r="I46" s="2">
        <f t="shared" si="8"/>
        <v>19.248802715678398</v>
      </c>
      <c r="J46" s="3">
        <f t="shared" si="9"/>
        <v>52</v>
      </c>
    </row>
    <row r="47" spans="3:10" x14ac:dyDescent="0.25">
      <c r="C47" s="3">
        <v>53</v>
      </c>
      <c r="D47" s="3">
        <f t="shared" si="10"/>
        <v>5.3773</v>
      </c>
      <c r="E47" s="3">
        <f t="shared" si="11"/>
        <v>19.716766666666665</v>
      </c>
      <c r="F47" s="2">
        <f>(0.334*0.5^((C47+5)/6.31))*'EF Adjustment Table'!I$12</f>
        <v>5.6964573251862543E-4</v>
      </c>
      <c r="G47" s="8">
        <f t="shared" si="12"/>
        <v>0.75952764335816714</v>
      </c>
      <c r="H47" s="2">
        <f>IF(Calculator!$E$11='GWP reference values'!$C$6,G47*'GWP reference values'!$D$6/1000,IF(Calculator!$E$11='GWP reference values'!$C$7,G47*'GWP reference values'!$D$7/1000,IF(Calculator!$E$11='GWP reference values'!$C$8,G47*'GWP reference values'!$D$8/1000,"Error")))</f>
        <v>2.126677401402868E-2</v>
      </c>
      <c r="I47" s="2">
        <f t="shared" si="8"/>
        <v>19.738033440680695</v>
      </c>
      <c r="J47" s="3">
        <f t="shared" si="9"/>
        <v>53</v>
      </c>
    </row>
    <row r="48" spans="3:10" x14ac:dyDescent="0.25">
      <c r="C48" s="3">
        <v>54</v>
      </c>
      <c r="D48" s="3">
        <f t="shared" si="10"/>
        <v>5.5114000000000001</v>
      </c>
      <c r="E48" s="3">
        <f t="shared" si="11"/>
        <v>20.208466666666666</v>
      </c>
      <c r="F48" s="2">
        <f>(0.334*0.5^((C48+5)/6.31))*'EF Adjustment Table'!I$12</f>
        <v>5.1038515531972488E-4</v>
      </c>
      <c r="G48" s="8">
        <f t="shared" si="12"/>
        <v>0.68051354042629975</v>
      </c>
      <c r="H48" s="2">
        <f>IF(Calculator!$E$11='GWP reference values'!$C$6,G48*'GWP reference values'!$D$6/1000,IF(Calculator!$E$11='GWP reference values'!$C$7,G48*'GWP reference values'!$D$7/1000,IF(Calculator!$E$11='GWP reference values'!$C$8,G48*'GWP reference values'!$D$8/1000,"Error")))</f>
        <v>1.9054379131936392E-2</v>
      </c>
      <c r="I48" s="2">
        <f t="shared" si="8"/>
        <v>20.227521045798603</v>
      </c>
      <c r="J48" s="3">
        <f t="shared" si="9"/>
        <v>54</v>
      </c>
    </row>
    <row r="49" spans="3:10" x14ac:dyDescent="0.25">
      <c r="C49" s="3">
        <v>55</v>
      </c>
      <c r="D49" s="3">
        <f t="shared" si="10"/>
        <v>5.6455000000000002</v>
      </c>
      <c r="E49" s="3">
        <f t="shared" si="11"/>
        <v>20.700166666666668</v>
      </c>
      <c r="F49" s="2">
        <f>(0.334*0.5^((C49+5)/6.31))*'EF Adjustment Table'!I$12</f>
        <v>4.5728949046804762E-4</v>
      </c>
      <c r="G49" s="8">
        <f t="shared" si="12"/>
        <v>0.60971932062406353</v>
      </c>
      <c r="H49" s="2">
        <f>IF(Calculator!$E$11='GWP reference values'!$C$6,G49*'GWP reference values'!$D$6/1000,IF(Calculator!$E$11='GWP reference values'!$C$7,G49*'GWP reference values'!$D$7/1000,IF(Calculator!$E$11='GWP reference values'!$C$8,G49*'GWP reference values'!$D$8/1000,"Error")))</f>
        <v>1.7072140977473779E-2</v>
      </c>
      <c r="I49" s="2">
        <f t="shared" si="8"/>
        <v>20.71723880764414</v>
      </c>
      <c r="J49" s="3">
        <f t="shared" si="9"/>
        <v>55</v>
      </c>
    </row>
    <row r="50" spans="3:10" x14ac:dyDescent="0.25">
      <c r="C50" s="3">
        <v>56</v>
      </c>
      <c r="D50" s="3">
        <f t="shared" si="10"/>
        <v>5.7796000000000003</v>
      </c>
      <c r="E50" s="3">
        <f t="shared" si="11"/>
        <v>21.19186666666667</v>
      </c>
      <c r="F50" s="2">
        <f>(0.334*0.5^((C50+5)/6.31))*'EF Adjustment Table'!I$12</f>
        <v>4.0971739854292895E-4</v>
      </c>
      <c r="G50" s="8">
        <f t="shared" si="12"/>
        <v>0.54628986472390528</v>
      </c>
      <c r="H50" s="2">
        <f>IF(Calculator!$E$11='GWP reference values'!$C$6,G50*'GWP reference values'!$D$6/1000,IF(Calculator!$E$11='GWP reference values'!$C$7,G50*'GWP reference values'!$D$7/1000,IF(Calculator!$E$11='GWP reference values'!$C$8,G50*'GWP reference values'!$D$8/1000,"Error")))</f>
        <v>1.5296116212269348E-2</v>
      </c>
      <c r="I50" s="2">
        <f t="shared" si="8"/>
        <v>21.207162782878939</v>
      </c>
      <c r="J50" s="3">
        <f t="shared" si="9"/>
        <v>56</v>
      </c>
    </row>
    <row r="51" spans="3:10" x14ac:dyDescent="0.25">
      <c r="C51" s="3">
        <v>57</v>
      </c>
      <c r="D51" s="3">
        <f t="shared" si="10"/>
        <v>5.9137000000000004</v>
      </c>
      <c r="E51" s="3">
        <f t="shared" si="11"/>
        <v>21.683566666666668</v>
      </c>
      <c r="F51" s="2">
        <f>(0.334*0.5^((C51+5)/6.31))*'EF Adjustment Table'!I$12</f>
        <v>3.6709425903702175E-4</v>
      </c>
      <c r="G51" s="8">
        <f t="shared" si="12"/>
        <v>0.48945901204936232</v>
      </c>
      <c r="H51" s="2">
        <f>IF(Calculator!$E$11='GWP reference values'!$C$6,G51*'GWP reference values'!$D$6/1000,IF(Calculator!$E$11='GWP reference values'!$C$7,G51*'GWP reference values'!$D$7/1000,IF(Calculator!$E$11='GWP reference values'!$C$8,G51*'GWP reference values'!$D$8/1000,"Error")))</f>
        <v>1.3704852337382145E-2</v>
      </c>
      <c r="I51" s="2">
        <f t="shared" si="8"/>
        <v>21.697271519004051</v>
      </c>
      <c r="J51" s="3">
        <f t="shared" si="9"/>
        <v>57</v>
      </c>
    </row>
    <row r="52" spans="3:10" x14ac:dyDescent="0.25">
      <c r="C52" s="3">
        <v>58</v>
      </c>
      <c r="D52" s="3">
        <f t="shared" si="10"/>
        <v>6.0478000000000005</v>
      </c>
      <c r="E52" s="3">
        <f t="shared" si="11"/>
        <v>22.175266666666666</v>
      </c>
      <c r="F52" s="2">
        <f>(0.334*0.5^((C52+5)/6.31))*'EF Adjustment Table'!I$12</f>
        <v>3.2890522954890045E-4</v>
      </c>
      <c r="G52" s="8">
        <f t="shared" si="12"/>
        <v>0.43854030606520061</v>
      </c>
      <c r="H52" s="2">
        <f>IF(Calculator!$E$11='GWP reference values'!$C$6,G52*'GWP reference values'!$D$6/1000,IF(Calculator!$E$11='GWP reference values'!$C$7,G52*'GWP reference values'!$D$7/1000,IF(Calculator!$E$11='GWP reference values'!$C$8,G52*'GWP reference values'!$D$8/1000,"Error")))</f>
        <v>1.2279128569825618E-2</v>
      </c>
      <c r="I52" s="2">
        <f t="shared" si="8"/>
        <v>22.187545795236492</v>
      </c>
      <c r="J52" s="3">
        <f t="shared" si="9"/>
        <v>58</v>
      </c>
    </row>
    <row r="53" spans="3:10" x14ac:dyDescent="0.25">
      <c r="C53" s="3">
        <v>59</v>
      </c>
      <c r="D53" s="3">
        <f t="shared" si="10"/>
        <v>6.1819000000000006</v>
      </c>
      <c r="E53" s="3">
        <f t="shared" si="11"/>
        <v>22.666966666666667</v>
      </c>
      <c r="F53" s="2">
        <f>(0.334*0.5^((C53+5)/6.31))*'EF Adjustment Table'!I$12</f>
        <v>2.946890270318956E-4</v>
      </c>
      <c r="G53" s="8">
        <f t="shared" si="12"/>
        <v>0.3929187027091941</v>
      </c>
      <c r="H53" s="2">
        <f>IF(Calculator!$E$11='GWP reference values'!$C$6,G53*'GWP reference values'!$D$6/1000,IF(Calculator!$E$11='GWP reference values'!$C$7,G53*'GWP reference values'!$D$7/1000,IF(Calculator!$E$11='GWP reference values'!$C$8,G53*'GWP reference values'!$D$8/1000,"Error")))</f>
        <v>1.1001723675857434E-2</v>
      </c>
      <c r="I53" s="2">
        <f t="shared" si="8"/>
        <v>22.677968390342524</v>
      </c>
      <c r="J53" s="3">
        <f t="shared" si="9"/>
        <v>59</v>
      </c>
    </row>
    <row r="54" spans="3:10" x14ac:dyDescent="0.25">
      <c r="C54" s="3">
        <v>60</v>
      </c>
      <c r="D54" s="3">
        <f t="shared" si="10"/>
        <v>6.3159999999999989</v>
      </c>
      <c r="E54" s="3">
        <f t="shared" si="11"/>
        <v>23.158666666666662</v>
      </c>
      <c r="F54" s="2">
        <f>(0.334*0.5^((C54+5)/6.31))*'EF Adjustment Table'!I$12</f>
        <v>2.6403235598324303E-4</v>
      </c>
      <c r="G54" s="8">
        <f t="shared" si="12"/>
        <v>0.35204314131099074</v>
      </c>
      <c r="H54" s="2">
        <f>IF(Calculator!$E$11='GWP reference values'!$C$6,G54*'GWP reference values'!$D$6/1000,IF(Calculator!$E$11='GWP reference values'!$C$7,G54*'GWP reference values'!$D$7/1000,IF(Calculator!$E$11='GWP reference values'!$C$8,G54*'GWP reference values'!$D$8/1000,"Error")))</f>
        <v>9.8572079567077406E-3</v>
      </c>
      <c r="I54" s="2">
        <f t="shared" si="8"/>
        <v>23.168523874623368</v>
      </c>
      <c r="J54" s="3">
        <f t="shared" si="9"/>
        <v>60</v>
      </c>
    </row>
    <row r="55" spans="3:10" x14ac:dyDescent="0.25">
      <c r="C55" s="3">
        <v>61</v>
      </c>
      <c r="D55" s="3">
        <f t="shared" si="10"/>
        <v>6.4500999999999991</v>
      </c>
      <c r="E55" s="3">
        <f t="shared" si="11"/>
        <v>23.650366666666663</v>
      </c>
      <c r="F55" s="2">
        <f>(0.334*0.5^((C55+5)/6.31))*'EF Adjustment Table'!I$12</f>
        <v>2.3656491627194651E-4</v>
      </c>
      <c r="G55" s="8">
        <f t="shared" si="12"/>
        <v>0.31541988836259532</v>
      </c>
      <c r="H55" s="2">
        <f>IF(Calculator!$E$11='GWP reference values'!$C$6,G55*'GWP reference values'!$D$6/1000,IF(Calculator!$E$11='GWP reference values'!$C$7,G55*'GWP reference values'!$D$7/1000,IF(Calculator!$E$11='GWP reference values'!$C$8,G55*'GWP reference values'!$D$8/1000,"Error")))</f>
        <v>8.8317568741526683E-3</v>
      </c>
      <c r="I55" s="2">
        <f t="shared" si="8"/>
        <v>23.659198423540815</v>
      </c>
      <c r="J55" s="3">
        <f t="shared" si="9"/>
        <v>61</v>
      </c>
    </row>
    <row r="56" spans="3:10" x14ac:dyDescent="0.25">
      <c r="C56" s="3">
        <v>62</v>
      </c>
      <c r="D56" s="3">
        <f t="shared" si="10"/>
        <v>6.5841999999999992</v>
      </c>
      <c r="E56" s="3">
        <f t="shared" si="11"/>
        <v>24.142066666666665</v>
      </c>
      <c r="F56" s="2">
        <f>(0.334*0.5^((C56+5)/6.31))*'EF Adjustment Table'!I$12</f>
        <v>2.1195493030522721E-4</v>
      </c>
      <c r="G56" s="8">
        <f t="shared" si="12"/>
        <v>0.28260657374030296</v>
      </c>
      <c r="H56" s="2">
        <f>IF(Calculator!$E$11='GWP reference values'!$C$6,G56*'GWP reference values'!$D$6/1000,IF(Calculator!$E$11='GWP reference values'!$C$7,G56*'GWP reference values'!$D$7/1000,IF(Calculator!$E$11='GWP reference values'!$C$8,G56*'GWP reference values'!$D$8/1000,"Error")))</f>
        <v>7.9129840647284826E-3</v>
      </c>
      <c r="I56" s="2">
        <f t="shared" si="8"/>
        <v>24.149979650731392</v>
      </c>
      <c r="J56" s="3">
        <f t="shared" si="9"/>
        <v>62</v>
      </c>
    </row>
    <row r="57" spans="3:10" x14ac:dyDescent="0.25">
      <c r="C57" s="3">
        <v>63</v>
      </c>
      <c r="D57" s="3">
        <f t="shared" si="10"/>
        <v>6.7182999999999993</v>
      </c>
      <c r="E57" s="3">
        <f t="shared" si="11"/>
        <v>24.633766666666663</v>
      </c>
      <c r="F57" s="2">
        <f>(0.334*0.5^((C57+5)/6.31))*'EF Adjustment Table'!I$12</f>
        <v>1.899051355064399E-4</v>
      </c>
      <c r="G57" s="8">
        <f t="shared" si="12"/>
        <v>0.25320684734191984</v>
      </c>
      <c r="H57" s="2">
        <f>IF(Calculator!$E$11='GWP reference values'!$C$6,G57*'GWP reference values'!$D$6/1000,IF(Calculator!$E$11='GWP reference values'!$C$7,G57*'GWP reference values'!$D$7/1000,IF(Calculator!$E$11='GWP reference values'!$C$8,G57*'GWP reference values'!$D$8/1000,"Error")))</f>
        <v>7.0897917255737554E-3</v>
      </c>
      <c r="I57" s="2">
        <f t="shared" si="8"/>
        <v>24.640856458392236</v>
      </c>
      <c r="J57" s="3">
        <f t="shared" si="9"/>
        <v>63</v>
      </c>
    </row>
    <row r="58" spans="3:10" x14ac:dyDescent="0.25">
      <c r="C58" s="3">
        <v>64</v>
      </c>
      <c r="D58" s="3">
        <f t="shared" si="10"/>
        <v>6.8523999999999994</v>
      </c>
      <c r="E58" s="3">
        <f t="shared" si="11"/>
        <v>25.125466666666664</v>
      </c>
      <c r="F58" s="2">
        <f>(0.334*0.5^((C58+5)/6.31))*'EF Adjustment Table'!I$12</f>
        <v>1.7014919369785469E-4</v>
      </c>
      <c r="G58" s="8">
        <f t="shared" si="12"/>
        <v>0.22686559159713959</v>
      </c>
      <c r="H58" s="2">
        <f>IF(Calculator!$E$11='GWP reference values'!$C$6,G58*'GWP reference values'!$D$6/1000,IF(Calculator!$E$11='GWP reference values'!$C$7,G58*'GWP reference values'!$D$7/1000,IF(Calculator!$E$11='GWP reference values'!$C$8,G58*'GWP reference values'!$D$8/1000,"Error")))</f>
        <v>6.3522365647199087E-3</v>
      </c>
      <c r="I58" s="2">
        <f t="shared" si="8"/>
        <v>25.131818903231384</v>
      </c>
      <c r="J58" s="3">
        <f t="shared" si="9"/>
        <v>64</v>
      </c>
    </row>
    <row r="59" spans="3:10" x14ac:dyDescent="0.25">
      <c r="C59" s="3">
        <v>65</v>
      </c>
      <c r="D59" s="3">
        <f t="shared" si="10"/>
        <v>6.9864999999999995</v>
      </c>
      <c r="E59" s="3">
        <f t="shared" si="11"/>
        <v>25.617166666666666</v>
      </c>
      <c r="F59" s="2">
        <f>(0.334*0.5^((C59+5)/6.31))*'EF Adjustment Table'!I$12</f>
        <v>1.5244847401742982E-4</v>
      </c>
      <c r="G59" s="8">
        <f t="shared" si="12"/>
        <v>0.20326463202323974</v>
      </c>
      <c r="H59" s="2">
        <f>IF(Calculator!$E$11='GWP reference values'!$C$6,G59*'GWP reference values'!$D$6/1000,IF(Calculator!$E$11='GWP reference values'!$C$7,G59*'GWP reference values'!$D$7/1000,IF(Calculator!$E$11='GWP reference values'!$C$8,G59*'GWP reference values'!$D$8/1000,"Error")))</f>
        <v>5.6914096966507125E-3</v>
      </c>
      <c r="I59" s="2">
        <f t="shared" si="8"/>
        <v>25.622858076363318</v>
      </c>
      <c r="J59" s="3">
        <f t="shared" si="9"/>
        <v>65</v>
      </c>
    </row>
    <row r="60" spans="3:10" x14ac:dyDescent="0.25">
      <c r="C60" s="3">
        <v>66</v>
      </c>
      <c r="D60" s="3">
        <f t="shared" si="10"/>
        <v>7.1205999999999996</v>
      </c>
      <c r="E60" s="3">
        <f t="shared" si="11"/>
        <v>26.108866666666664</v>
      </c>
      <c r="F60" s="2">
        <f>(0.334*0.5^((C60+5)/6.31))*'EF Adjustment Table'!I$12</f>
        <v>1.3658917051063312E-4</v>
      </c>
      <c r="G60" s="8">
        <f t="shared" si="12"/>
        <v>0.1821188940141775</v>
      </c>
      <c r="H60" s="2">
        <f>IF(Calculator!$E$11='GWP reference values'!$C$6,G60*'GWP reference values'!$D$6/1000,IF(Calculator!$E$11='GWP reference values'!$C$7,G60*'GWP reference values'!$D$7/1000,IF(Calculator!$E$11='GWP reference values'!$C$8,G60*'GWP reference values'!$D$8/1000,"Error")))</f>
        <v>5.0993290323969693E-3</v>
      </c>
      <c r="I60" s="2">
        <f t="shared" si="8"/>
        <v>26.113965995699061</v>
      </c>
      <c r="J60" s="3">
        <f t="shared" si="9"/>
        <v>66</v>
      </c>
    </row>
    <row r="61" spans="3:10" x14ac:dyDescent="0.25">
      <c r="C61" s="3">
        <v>67</v>
      </c>
      <c r="D61" s="3">
        <f t="shared" si="10"/>
        <v>7.2546999999999997</v>
      </c>
      <c r="E61" s="3">
        <f t="shared" si="11"/>
        <v>26.600566666666666</v>
      </c>
      <c r="F61" s="2">
        <f>(0.334*0.5^((C61+5)/6.31))*'EF Adjustment Table'!I$12</f>
        <v>1.223797195808581E-4</v>
      </c>
      <c r="G61" s="8">
        <f t="shared" si="12"/>
        <v>0.16317295944114416</v>
      </c>
      <c r="H61" s="2">
        <f>IF(Calculator!$E$11='GWP reference values'!$C$6,G61*'GWP reference values'!$D$6/1000,IF(Calculator!$E$11='GWP reference values'!$C$7,G61*'GWP reference values'!$D$7/1000,IF(Calculator!$E$11='GWP reference values'!$C$8,G61*'GWP reference values'!$D$8/1000,"Error")))</f>
        <v>4.5688428643520362E-3</v>
      </c>
      <c r="I61" s="2">
        <f t="shared" si="8"/>
        <v>26.605135509531017</v>
      </c>
      <c r="J61" s="3">
        <f t="shared" si="9"/>
        <v>67</v>
      </c>
    </row>
    <row r="62" spans="3:10" x14ac:dyDescent="0.25">
      <c r="C62" s="3">
        <v>68</v>
      </c>
      <c r="D62" s="3">
        <f t="shared" si="10"/>
        <v>7.3887999999999998</v>
      </c>
      <c r="E62" s="3">
        <f t="shared" si="11"/>
        <v>27.092266666666667</v>
      </c>
      <c r="F62" s="2">
        <f>(0.334*0.5^((C62+5)/6.31))*'EF Adjustment Table'!I$12</f>
        <v>1.0964848610398113E-4</v>
      </c>
      <c r="G62" s="8">
        <f t="shared" si="12"/>
        <v>0.14619798147197485</v>
      </c>
      <c r="H62" s="2">
        <f>IF(Calculator!$E$11='GWP reference values'!$C$6,G62*'GWP reference values'!$D$6/1000,IF(Calculator!$E$11='GWP reference values'!$C$7,G62*'GWP reference values'!$D$7/1000,IF(Calculator!$E$11='GWP reference values'!$C$8,G62*'GWP reference values'!$D$8/1000,"Error")))</f>
        <v>4.0935434812152957E-3</v>
      </c>
      <c r="I62" s="2">
        <f t="shared" si="8"/>
        <v>27.096360210147882</v>
      </c>
      <c r="J62" s="3">
        <f t="shared" si="9"/>
        <v>68</v>
      </c>
    </row>
    <row r="63" spans="3:10" x14ac:dyDescent="0.25">
      <c r="C63" s="3">
        <v>69</v>
      </c>
      <c r="D63" s="3">
        <f t="shared" si="10"/>
        <v>7.5228999999999999</v>
      </c>
      <c r="E63" s="3">
        <f t="shared" si="11"/>
        <v>27.583966666666665</v>
      </c>
      <c r="F63" s="2">
        <f>(0.334*0.5^((C63+5)/6.31))*'EF Adjustment Table'!I$12</f>
        <v>9.8241690257766238E-5</v>
      </c>
      <c r="G63" s="8">
        <f t="shared" si="12"/>
        <v>0.13098892034368831</v>
      </c>
      <c r="H63" s="2">
        <f>IF(Calculator!$E$11='GWP reference values'!$C$6,G63*'GWP reference values'!$D$6/1000,IF(Calculator!$E$11='GWP reference values'!$C$7,G63*'GWP reference values'!$D$7/1000,IF(Calculator!$E$11='GWP reference values'!$C$8,G63*'GWP reference values'!$D$8/1000,"Error")))</f>
        <v>3.6676897696232727E-3</v>
      </c>
      <c r="I63" s="2">
        <f t="shared" si="8"/>
        <v>27.58763435643629</v>
      </c>
      <c r="J63" s="3">
        <f t="shared" si="9"/>
        <v>69</v>
      </c>
    </row>
    <row r="64" spans="3:10" x14ac:dyDescent="0.25">
      <c r="C64" s="3">
        <v>70</v>
      </c>
      <c r="D64" s="3">
        <f t="shared" si="10"/>
        <v>7.657</v>
      </c>
      <c r="E64" s="3">
        <f t="shared" si="11"/>
        <v>28.075666666666667</v>
      </c>
      <c r="F64" s="2">
        <f>(0.334*0.5^((C64+5)/6.31))*'EF Adjustment Table'!I$12</f>
        <v>8.8021550024414418E-5</v>
      </c>
      <c r="G64" s="8">
        <f t="shared" si="12"/>
        <v>0.11736206669921923</v>
      </c>
      <c r="H64" s="2">
        <f>IF(Calculator!$E$11='GWP reference values'!$C$6,G64*'GWP reference values'!$D$6/1000,IF(Calculator!$E$11='GWP reference values'!$C$7,G64*'GWP reference values'!$D$7/1000,IF(Calculator!$E$11='GWP reference values'!$C$8,G64*'GWP reference values'!$D$8/1000,"Error")))</f>
        <v>3.2861378675781384E-3</v>
      </c>
      <c r="I64" s="2">
        <f t="shared" si="8"/>
        <v>28.078952804534246</v>
      </c>
      <c r="J64" s="3">
        <f t="shared" si="9"/>
        <v>70</v>
      </c>
    </row>
    <row r="65" spans="3:10" x14ac:dyDescent="0.25">
      <c r="C65" s="3">
        <v>71</v>
      </c>
      <c r="D65" s="3">
        <f t="shared" si="10"/>
        <v>7.7911000000000001</v>
      </c>
      <c r="E65" s="3">
        <f t="shared" si="11"/>
        <v>28.567366666666668</v>
      </c>
      <c r="F65" s="2">
        <f>(0.334*0.5^((C65+5)/6.31))*'EF Adjustment Table'!I$12</f>
        <v>7.8864616929654331E-5</v>
      </c>
      <c r="G65" s="8">
        <f t="shared" si="12"/>
        <v>0.10515282257287244</v>
      </c>
      <c r="H65" s="2">
        <f>IF(Calculator!$E$11='GWP reference values'!$C$6,G65*'GWP reference values'!$D$6/1000,IF(Calculator!$E$11='GWP reference values'!$C$7,G65*'GWP reference values'!$D$7/1000,IF(Calculator!$E$11='GWP reference values'!$C$8,G65*'GWP reference values'!$D$8/1000,"Error")))</f>
        <v>2.9442790320404282E-3</v>
      </c>
      <c r="I65" s="2">
        <f t="shared" si="8"/>
        <v>28.570310945698708</v>
      </c>
      <c r="J65" s="3">
        <f t="shared" si="9"/>
        <v>71</v>
      </c>
    </row>
    <row r="66" spans="3:10" x14ac:dyDescent="0.25">
      <c r="C66" s="3">
        <v>72</v>
      </c>
      <c r="D66" s="3">
        <f t="shared" si="10"/>
        <v>7.9252000000000002</v>
      </c>
      <c r="E66" s="3">
        <f t="shared" si="11"/>
        <v>29.059066666666666</v>
      </c>
      <c r="F66" s="2">
        <f>(0.334*0.5^((C66+5)/6.31))*'EF Adjustment Table'!I$12</f>
        <v>7.066028491586414E-5</v>
      </c>
      <c r="G66" s="8">
        <f t="shared" si="12"/>
        <v>9.4213713221152184E-2</v>
      </c>
      <c r="H66" s="2">
        <f>IF(Calculator!$E$11='GWP reference values'!$C$6,G66*'GWP reference values'!$D$6/1000,IF(Calculator!$E$11='GWP reference values'!$C$7,G66*'GWP reference values'!$D$7/1000,IF(Calculator!$E$11='GWP reference values'!$C$8,G66*'GWP reference values'!$D$8/1000,"Error")))</f>
        <v>2.6379839701922607E-3</v>
      </c>
      <c r="I66" s="2">
        <f t="shared" si="8"/>
        <v>29.061704650636859</v>
      </c>
      <c r="J66" s="3">
        <f t="shared" si="9"/>
        <v>72</v>
      </c>
    </row>
    <row r="67" spans="3:10" x14ac:dyDescent="0.25">
      <c r="C67" s="3">
        <v>73</v>
      </c>
      <c r="D67" s="3">
        <f t="shared" si="10"/>
        <v>8.0592999999999986</v>
      </c>
      <c r="E67" s="3">
        <f t="shared" si="11"/>
        <v>29.550766666666664</v>
      </c>
      <c r="F67" s="2">
        <f>(0.334*0.5^((C67+5)/6.31))*'EF Adjustment Table'!I$12</f>
        <v>6.3309454337991017E-5</v>
      </c>
      <c r="G67" s="8">
        <f t="shared" si="12"/>
        <v>8.4412605783988015E-2</v>
      </c>
      <c r="H67" s="2">
        <f>IF(Calculator!$E$11='GWP reference values'!$C$6,G67*'GWP reference values'!$D$6/1000,IF(Calculator!$E$11='GWP reference values'!$C$7,G67*'GWP reference values'!$D$7/1000,IF(Calculator!$E$11='GWP reference values'!$C$8,G67*'GWP reference values'!$D$8/1000,"Error")))</f>
        <v>2.3635529619516643E-3</v>
      </c>
      <c r="I67" s="2">
        <f t="shared" si="8"/>
        <v>29.553130219628617</v>
      </c>
      <c r="J67" s="3">
        <f t="shared" si="9"/>
        <v>73</v>
      </c>
    </row>
    <row r="68" spans="3:10" x14ac:dyDescent="0.25">
      <c r="C68" s="3">
        <v>74</v>
      </c>
      <c r="D68" s="3">
        <f t="shared" si="10"/>
        <v>8.1933999999999987</v>
      </c>
      <c r="E68" s="3">
        <f t="shared" si="11"/>
        <v>30.042466666666659</v>
      </c>
      <c r="F68" s="2">
        <f>(0.334*0.5^((C68+5)/6.31))*'EF Adjustment Table'!I$12</f>
        <v>5.672333494475202E-5</v>
      </c>
      <c r="G68" s="8">
        <f t="shared" si="12"/>
        <v>7.5631113259669355E-2</v>
      </c>
      <c r="H68" s="2">
        <f>IF(Calculator!$E$11='GWP reference values'!$C$6,G68*'GWP reference values'!$D$6/1000,IF(Calculator!$E$11='GWP reference values'!$C$7,G68*'GWP reference values'!$D$7/1000,IF(Calculator!$E$11='GWP reference values'!$C$8,G68*'GWP reference values'!$D$8/1000,"Error")))</f>
        <v>2.1176711712707422E-3</v>
      </c>
      <c r="I68" s="2">
        <f t="shared" si="8"/>
        <v>30.044584337837929</v>
      </c>
      <c r="J68" s="3">
        <f t="shared" si="9"/>
        <v>74</v>
      </c>
    </row>
    <row r="69" spans="3:10" x14ac:dyDescent="0.25">
      <c r="C69" s="3">
        <v>75</v>
      </c>
      <c r="D69" s="3">
        <f t="shared" si="10"/>
        <v>8.3274999999999988</v>
      </c>
      <c r="E69" s="3">
        <f t="shared" si="11"/>
        <v>30.534166666666664</v>
      </c>
      <c r="F69" s="2">
        <f>(0.334*0.5^((C69+5)/6.31))*'EF Adjustment Table'!I$12</f>
        <v>5.0822373386398503E-5</v>
      </c>
      <c r="G69" s="8">
        <f t="shared" si="12"/>
        <v>6.7763164515197996E-2</v>
      </c>
      <c r="H69" s="2">
        <f>IF(Calculator!$E$11='GWP reference values'!$C$6,G69*'GWP reference values'!$D$6/1000,IF(Calculator!$E$11='GWP reference values'!$C$7,G69*'GWP reference values'!$D$7/1000,IF(Calculator!$E$11='GWP reference values'!$C$8,G69*'GWP reference values'!$D$8/1000,"Error")))</f>
        <v>1.8973686064255439E-3</v>
      </c>
      <c r="I69" s="2">
        <f t="shared" si="8"/>
        <v>30.536064035273089</v>
      </c>
      <c r="J69" s="3">
        <f t="shared" si="9"/>
        <v>75</v>
      </c>
    </row>
    <row r="70" spans="3:10" x14ac:dyDescent="0.25">
      <c r="C70" s="3">
        <v>76</v>
      </c>
      <c r="D70" s="3">
        <f t="shared" si="10"/>
        <v>8.4615999999999989</v>
      </c>
      <c r="E70" s="3">
        <f t="shared" si="11"/>
        <v>31.025866666666666</v>
      </c>
      <c r="F70" s="2">
        <f>(0.334*0.5^((C70+5)/6.31))*'EF Adjustment Table'!I$12</f>
        <v>4.5535292294471657E-5</v>
      </c>
      <c r="G70" s="8">
        <f t="shared" si="12"/>
        <v>6.0713723059295545E-2</v>
      </c>
      <c r="H70" s="2">
        <f>IF(Calculator!$E$11='GWP reference values'!$C$6,G70*'GWP reference values'!$D$6/1000,IF(Calculator!$E$11='GWP reference values'!$C$7,G70*'GWP reference values'!$D$7/1000,IF(Calculator!$E$11='GWP reference values'!$C$8,G70*'GWP reference values'!$D$8/1000,"Error")))</f>
        <v>1.6999842456602752E-3</v>
      </c>
      <c r="I70" s="2">
        <f t="shared" si="8"/>
        <v>31.027566650912327</v>
      </c>
      <c r="J70" s="3">
        <f t="shared" si="9"/>
        <v>76</v>
      </c>
    </row>
    <row r="71" spans="3:10" x14ac:dyDescent="0.25">
      <c r="C71" s="3">
        <v>77</v>
      </c>
      <c r="D71" s="3">
        <f t="shared" si="10"/>
        <v>8.595699999999999</v>
      </c>
      <c r="E71" s="3">
        <f t="shared" si="11"/>
        <v>31.51756666666666</v>
      </c>
      <c r="F71" s="2">
        <f>(0.334*0.5^((C71+5)/6.31))*'EF Adjustment Table'!I$12</f>
        <v>4.0798229326651078E-5</v>
      </c>
      <c r="G71" s="8">
        <f t="shared" si="12"/>
        <v>5.4397639102201439E-2</v>
      </c>
      <c r="H71" s="2">
        <f>IF(Calculator!$E$11='GWP reference values'!$C$6,G71*'GWP reference values'!$D$6/1000,IF(Calculator!$E$11='GWP reference values'!$C$7,G71*'GWP reference values'!$D$7/1000,IF(Calculator!$E$11='GWP reference values'!$C$8,G71*'GWP reference values'!$D$8/1000,"Error")))</f>
        <v>1.5231338948616404E-3</v>
      </c>
      <c r="I71" s="2">
        <f t="shared" si="8"/>
        <v>31.51908980056152</v>
      </c>
      <c r="J71" s="3">
        <f t="shared" si="9"/>
        <v>77</v>
      </c>
    </row>
    <row r="72" spans="3:10" x14ac:dyDescent="0.25">
      <c r="C72" s="3">
        <v>78</v>
      </c>
      <c r="D72" s="3">
        <f t="shared" si="10"/>
        <v>8.7297999999999991</v>
      </c>
      <c r="E72" s="3">
        <f t="shared" si="11"/>
        <v>32.009266666666662</v>
      </c>
      <c r="F72" s="2">
        <f>(0.334*0.5^((C72+5)/6.31))*'EF Adjustment Table'!I$12</f>
        <v>3.655396577726798E-5</v>
      </c>
      <c r="G72" s="8">
        <f t="shared" si="12"/>
        <v>4.8738621036357309E-2</v>
      </c>
      <c r="H72" s="2">
        <f>IF(Calculator!$E$11='GWP reference values'!$C$6,G72*'GWP reference values'!$D$6/1000,IF(Calculator!$E$11='GWP reference values'!$C$7,G72*'GWP reference values'!$D$7/1000,IF(Calculator!$E$11='GWP reference values'!$C$8,G72*'GWP reference values'!$D$8/1000,"Error")))</f>
        <v>1.3646813890180046E-3</v>
      </c>
      <c r="I72" s="2">
        <f t="shared" si="8"/>
        <v>32.010631348055682</v>
      </c>
      <c r="J72" s="3">
        <f t="shared" si="9"/>
        <v>78</v>
      </c>
    </row>
    <row r="73" spans="3:10" x14ac:dyDescent="0.25">
      <c r="C73" s="3">
        <v>79</v>
      </c>
      <c r="D73" s="3">
        <f t="shared" si="10"/>
        <v>8.8638999999999992</v>
      </c>
      <c r="E73" s="3">
        <f t="shared" si="11"/>
        <v>32.500966666666663</v>
      </c>
      <c r="F73" s="2">
        <f>(0.334*0.5^((C73+5)/6.31))*'EF Adjustment Table'!I$12</f>
        <v>3.2751235435916902E-5</v>
      </c>
      <c r="G73" s="8">
        <f t="shared" si="12"/>
        <v>4.3668313914555869E-2</v>
      </c>
      <c r="H73" s="2">
        <f>IF(Calculator!$E$11='GWP reference values'!$C$6,G73*'GWP reference values'!$D$6/1000,IF(Calculator!$E$11='GWP reference values'!$C$7,G73*'GWP reference values'!$D$7/1000,IF(Calculator!$E$11='GWP reference values'!$C$8,G73*'GWP reference values'!$D$8/1000,"Error")))</f>
        <v>1.2227127896075642E-3</v>
      </c>
      <c r="I73" s="2">
        <f t="shared" si="8"/>
        <v>32.502189379456269</v>
      </c>
      <c r="J73" s="3">
        <f t="shared" si="9"/>
        <v>79</v>
      </c>
    </row>
    <row r="74" spans="3:10" x14ac:dyDescent="0.25">
      <c r="C74" s="3">
        <v>80</v>
      </c>
      <c r="D74" s="3">
        <f t="shared" ref="D74:D93" si="13">0.1341*C74-1.73</f>
        <v>8.9979999999999993</v>
      </c>
      <c r="E74" s="3">
        <f t="shared" ref="E74:E93" si="14">D74/12*44</f>
        <v>32.992666666666665</v>
      </c>
      <c r="F74" s="2">
        <f>(0.334*0.5^((C74+5)/6.31))*'EF Adjustment Table'!I$12</f>
        <v>2.9344105345907716E-5</v>
      </c>
      <c r="G74" s="8">
        <f t="shared" ref="G74:G93" si="15">F74*1000*16/12</f>
        <v>3.9125473794543626E-2</v>
      </c>
      <c r="H74" s="2">
        <f>IF(Calculator!$E$11='GWP reference values'!$C$6,G74*'GWP reference values'!$D$6/1000,IF(Calculator!$E$11='GWP reference values'!$C$7,G74*'GWP reference values'!$D$7/1000,IF(Calculator!$E$11='GWP reference values'!$C$8,G74*'GWP reference values'!$D$8/1000,"Error")))</f>
        <v>1.0955132662472215E-3</v>
      </c>
      <c r="I74" s="2">
        <f t="shared" si="8"/>
        <v>32.993762179932915</v>
      </c>
      <c r="J74" s="3">
        <f t="shared" si="9"/>
        <v>80</v>
      </c>
    </row>
    <row r="75" spans="3:10" x14ac:dyDescent="0.25">
      <c r="C75" s="3">
        <v>81</v>
      </c>
      <c r="D75" s="3">
        <f t="shared" si="13"/>
        <v>9.1320999999999994</v>
      </c>
      <c r="E75" s="3">
        <f t="shared" si="14"/>
        <v>33.484366666666666</v>
      </c>
      <c r="F75" s="2">
        <f>(0.334*0.5^((C75+5)/6.31))*'EF Adjustment Table'!I$12</f>
        <v>2.6291420982776833E-5</v>
      </c>
      <c r="G75" s="8">
        <f t="shared" si="15"/>
        <v>3.5055227977035773E-2</v>
      </c>
      <c r="H75" s="2">
        <f>IF(Calculator!$E$11='GWP reference values'!$C$6,G75*'GWP reference values'!$D$6/1000,IF(Calculator!$E$11='GWP reference values'!$C$7,G75*'GWP reference values'!$D$7/1000,IF(Calculator!$E$11='GWP reference values'!$C$8,G75*'GWP reference values'!$D$8/1000,"Error")))</f>
        <v>9.8154638335700155E-4</v>
      </c>
      <c r="I75" s="2">
        <f t="shared" ref="I75:I94" si="16">SUM(H75,E75)</f>
        <v>33.485348213050024</v>
      </c>
      <c r="J75" s="3">
        <f t="shared" ref="J75:J94" si="17">C75</f>
        <v>81</v>
      </c>
    </row>
    <row r="76" spans="3:10" x14ac:dyDescent="0.25">
      <c r="C76" s="3">
        <v>82</v>
      </c>
      <c r="D76" s="3">
        <f t="shared" si="13"/>
        <v>9.2661999999999995</v>
      </c>
      <c r="E76" s="3">
        <f t="shared" si="14"/>
        <v>33.976066666666668</v>
      </c>
      <c r="F76" s="2">
        <f>(0.334*0.5^((C76+5)/6.31))*'EF Adjustment Table'!I$12</f>
        <v>2.3556309151200556E-5</v>
      </c>
      <c r="G76" s="8">
        <f t="shared" si="15"/>
        <v>3.140841220160074E-2</v>
      </c>
      <c r="H76" s="2">
        <f>IF(Calculator!$E$11='GWP reference values'!$C$6,G76*'GWP reference values'!$D$6/1000,IF(Calculator!$E$11='GWP reference values'!$C$7,G76*'GWP reference values'!$D$7/1000,IF(Calculator!$E$11='GWP reference values'!$C$8,G76*'GWP reference values'!$D$8/1000,"Error")))</f>
        <v>8.7943554164482071E-4</v>
      </c>
      <c r="I76" s="2">
        <f t="shared" si="16"/>
        <v>33.976946102208309</v>
      </c>
      <c r="J76" s="3">
        <f t="shared" si="17"/>
        <v>82</v>
      </c>
    </row>
    <row r="77" spans="3:10" x14ac:dyDescent="0.25">
      <c r="C77" s="3">
        <v>83</v>
      </c>
      <c r="D77" s="3">
        <f t="shared" si="13"/>
        <v>9.4002999999999997</v>
      </c>
      <c r="E77" s="3">
        <f t="shared" si="14"/>
        <v>34.467766666666662</v>
      </c>
      <c r="F77" s="2">
        <f>(0.334*0.5^((C77+5)/6.31))*'EF Adjustment Table'!I$12</f>
        <v>2.1105732595832029E-5</v>
      </c>
      <c r="G77" s="8">
        <f t="shared" si="15"/>
        <v>2.8140976794442704E-2</v>
      </c>
      <c r="H77" s="2">
        <f>IF(Calculator!$E$11='GWP reference values'!$C$6,G77*'GWP reference values'!$D$6/1000,IF(Calculator!$E$11='GWP reference values'!$C$7,G77*'GWP reference values'!$D$7/1000,IF(Calculator!$E$11='GWP reference values'!$C$8,G77*'GWP reference values'!$D$8/1000,"Error")))</f>
        <v>7.8794735024439566E-4</v>
      </c>
      <c r="I77" s="2">
        <f t="shared" si="16"/>
        <v>34.468554614016909</v>
      </c>
      <c r="J77" s="3">
        <f t="shared" si="17"/>
        <v>83</v>
      </c>
    </row>
    <row r="78" spans="3:10" x14ac:dyDescent="0.25">
      <c r="C78" s="3">
        <v>84</v>
      </c>
      <c r="D78" s="3">
        <f t="shared" si="13"/>
        <v>9.5343999999999998</v>
      </c>
      <c r="E78" s="3">
        <f t="shared" si="14"/>
        <v>34.959466666666664</v>
      </c>
      <c r="F78" s="2">
        <f>(0.334*0.5^((C78+5)/6.31))*'EF Adjustment Table'!I$12</f>
        <v>1.8910090946232292E-5</v>
      </c>
      <c r="G78" s="8">
        <f t="shared" si="15"/>
        <v>2.5213454594976387E-2</v>
      </c>
      <c r="H78" s="2">
        <f>IF(Calculator!$E$11='GWP reference values'!$C$6,G78*'GWP reference values'!$D$6/1000,IF(Calculator!$E$11='GWP reference values'!$C$7,G78*'GWP reference values'!$D$7/1000,IF(Calculator!$E$11='GWP reference values'!$C$8,G78*'GWP reference values'!$D$8/1000,"Error")))</f>
        <v>7.0597672865933879E-4</v>
      </c>
      <c r="I78" s="2">
        <f t="shared" si="16"/>
        <v>34.960172643395325</v>
      </c>
      <c r="J78" s="3">
        <f t="shared" si="17"/>
        <v>84</v>
      </c>
    </row>
    <row r="79" spans="3:10" x14ac:dyDescent="0.25">
      <c r="C79" s="3">
        <v>85</v>
      </c>
      <c r="D79" s="3">
        <f t="shared" si="13"/>
        <v>9.6684999999999999</v>
      </c>
      <c r="E79" s="3">
        <f t="shared" si="14"/>
        <v>35.451166666666666</v>
      </c>
      <c r="F79" s="2">
        <f>(0.334*0.5^((C79+5)/6.31))*'EF Adjustment Table'!I$12</f>
        <v>1.6942863175732322E-5</v>
      </c>
      <c r="G79" s="8">
        <f t="shared" si="15"/>
        <v>2.259048423430976E-2</v>
      </c>
      <c r="H79" s="2">
        <f>IF(Calculator!$E$11='GWP reference values'!$C$6,G79*'GWP reference values'!$D$6/1000,IF(Calculator!$E$11='GWP reference values'!$C$7,G79*'GWP reference values'!$D$7/1000,IF(Calculator!$E$11='GWP reference values'!$C$8,G79*'GWP reference values'!$D$8/1000,"Error")))</f>
        <v>6.3253355856067331E-4</v>
      </c>
      <c r="I79" s="2">
        <f t="shared" si="16"/>
        <v>35.451799200225224</v>
      </c>
      <c r="J79" s="3">
        <f t="shared" si="17"/>
        <v>85</v>
      </c>
    </row>
    <row r="80" spans="3:10" x14ac:dyDescent="0.25">
      <c r="C80" s="3">
        <v>86</v>
      </c>
      <c r="D80" s="3">
        <f t="shared" si="13"/>
        <v>9.8026</v>
      </c>
      <c r="E80" s="3">
        <f t="shared" si="14"/>
        <v>35.942866666666667</v>
      </c>
      <c r="F80" s="2">
        <f>(0.334*0.5^((C80+5)/6.31))*'EF Adjustment Table'!I$12</f>
        <v>1.518028725550798E-5</v>
      </c>
      <c r="G80" s="8">
        <f t="shared" si="15"/>
        <v>2.0240383007343973E-2</v>
      </c>
      <c r="H80" s="2">
        <f>IF(Calculator!$E$11='GWP reference values'!$C$6,G80*'GWP reference values'!$D$6/1000,IF(Calculator!$E$11='GWP reference values'!$C$7,G80*'GWP reference values'!$D$7/1000,IF(Calculator!$E$11='GWP reference values'!$C$8,G80*'GWP reference values'!$D$8/1000,"Error")))</f>
        <v>5.6673072420563122E-4</v>
      </c>
      <c r="I80" s="2">
        <f t="shared" si="16"/>
        <v>35.943433397390869</v>
      </c>
      <c r="J80" s="3">
        <f t="shared" si="17"/>
        <v>86</v>
      </c>
    </row>
    <row r="81" spans="2:10" x14ac:dyDescent="0.25">
      <c r="C81" s="3">
        <v>87</v>
      </c>
      <c r="D81" s="3">
        <f t="shared" si="13"/>
        <v>9.9367000000000001</v>
      </c>
      <c r="E81" s="3">
        <f t="shared" si="14"/>
        <v>36.434566666666669</v>
      </c>
      <c r="F81" s="2">
        <f>(0.334*0.5^((C81+5)/6.31))*'EF Adjustment Table'!I$12</f>
        <v>1.3601073134427743E-5</v>
      </c>
      <c r="G81" s="8">
        <f t="shared" si="15"/>
        <v>1.8134764179236991E-2</v>
      </c>
      <c r="H81" s="2">
        <f>IF(Calculator!$E$11='GWP reference values'!$C$6,G81*'GWP reference values'!$D$6/1000,IF(Calculator!$E$11='GWP reference values'!$C$7,G81*'GWP reference values'!$D$7/1000,IF(Calculator!$E$11='GWP reference values'!$C$8,G81*'GWP reference values'!$D$8/1000,"Error")))</f>
        <v>5.0777339701863573E-4</v>
      </c>
      <c r="I81" s="2">
        <f t="shared" si="16"/>
        <v>36.435074440063687</v>
      </c>
      <c r="J81" s="3">
        <f t="shared" si="17"/>
        <v>87</v>
      </c>
    </row>
    <row r="82" spans="2:10" x14ac:dyDescent="0.25">
      <c r="C82" s="3">
        <v>88</v>
      </c>
      <c r="D82" s="3">
        <f t="shared" si="13"/>
        <v>10.070799999999998</v>
      </c>
      <c r="E82" s="3">
        <f t="shared" si="14"/>
        <v>36.926266666666656</v>
      </c>
      <c r="F82" s="2">
        <f>(0.334*0.5^((C82+5)/6.31))*'EF Adjustment Table'!I$12</f>
        <v>1.2186145577774299E-5</v>
      </c>
      <c r="G82" s="8">
        <f t="shared" si="15"/>
        <v>1.6248194103699067E-2</v>
      </c>
      <c r="H82" s="2">
        <f>IF(Calculator!$E$11='GWP reference values'!$C$6,G82*'GWP reference values'!$D$6/1000,IF(Calculator!$E$11='GWP reference values'!$C$7,G82*'GWP reference values'!$D$7/1000,IF(Calculator!$E$11='GWP reference values'!$C$8,G82*'GWP reference values'!$D$8/1000,"Error")))</f>
        <v>4.5494943490357389E-4</v>
      </c>
      <c r="I82" s="2">
        <f t="shared" si="16"/>
        <v>36.92672161610156</v>
      </c>
      <c r="J82" s="3">
        <f t="shared" si="17"/>
        <v>88</v>
      </c>
    </row>
    <row r="83" spans="2:10" x14ac:dyDescent="0.25">
      <c r="C83" s="3">
        <v>89</v>
      </c>
      <c r="D83" s="3">
        <f t="shared" si="13"/>
        <v>10.204899999999999</v>
      </c>
      <c r="E83" s="3">
        <f t="shared" si="14"/>
        <v>37.417966666666658</v>
      </c>
      <c r="F83" s="2">
        <f>(0.334*0.5^((C83+5)/6.31))*'EF Adjustment Table'!I$12</f>
        <v>1.0918413758603467E-5</v>
      </c>
      <c r="G83" s="8">
        <f t="shared" si="15"/>
        <v>1.4557885011471289E-2</v>
      </c>
      <c r="H83" s="2">
        <f>IF(Calculator!$E$11='GWP reference values'!$C$6,G83*'GWP reference values'!$D$6/1000,IF(Calculator!$E$11='GWP reference values'!$C$7,G83*'GWP reference values'!$D$7/1000,IF(Calculator!$E$11='GWP reference values'!$C$8,G83*'GWP reference values'!$D$8/1000,"Error")))</f>
        <v>4.0762078032119609E-4</v>
      </c>
      <c r="I83" s="2">
        <f t="shared" si="16"/>
        <v>37.41837428744698</v>
      </c>
      <c r="J83" s="3">
        <f t="shared" si="17"/>
        <v>89</v>
      </c>
    </row>
    <row r="84" spans="2:10" x14ac:dyDescent="0.25">
      <c r="C84" s="3">
        <v>90</v>
      </c>
      <c r="D84" s="3">
        <f t="shared" si="13"/>
        <v>10.338999999999999</v>
      </c>
      <c r="E84" s="3">
        <f t="shared" si="14"/>
        <v>37.909666666666666</v>
      </c>
      <c r="F84" s="2">
        <f>(0.334*0.5^((C84+5)/6.31))*'EF Adjustment Table'!I$12</f>
        <v>9.7825648186483226E-6</v>
      </c>
      <c r="G84" s="8">
        <f t="shared" si="15"/>
        <v>1.3043419758197764E-2</v>
      </c>
      <c r="H84" s="2">
        <f>IF(Calculator!$E$11='GWP reference values'!$C$6,G84*'GWP reference values'!$D$6/1000,IF(Calculator!$E$11='GWP reference values'!$C$7,G84*'GWP reference values'!$D$7/1000,IF(Calculator!$E$11='GWP reference values'!$C$8,G84*'GWP reference values'!$D$8/1000,"Error")))</f>
        <v>3.6521575322953734E-4</v>
      </c>
      <c r="I84" s="2">
        <f t="shared" si="16"/>
        <v>37.910031882419894</v>
      </c>
      <c r="J84" s="3">
        <f t="shared" si="17"/>
        <v>90</v>
      </c>
    </row>
    <row r="85" spans="2:10" x14ac:dyDescent="0.25">
      <c r="C85" s="3">
        <v>91</v>
      </c>
      <c r="D85" s="3">
        <f t="shared" si="13"/>
        <v>10.473099999999999</v>
      </c>
      <c r="E85" s="3">
        <f t="shared" si="14"/>
        <v>38.401366666666661</v>
      </c>
      <c r="F85" s="2">
        <f>(0.334*0.5^((C85+5)/6.31))*'EF Adjustment Table'!I$12</f>
        <v>8.7648789052024618E-6</v>
      </c>
      <c r="G85" s="8">
        <f t="shared" si="15"/>
        <v>1.1686505206936615E-2</v>
      </c>
      <c r="H85" s="2">
        <f>IF(Calculator!$E$11='GWP reference values'!$C$6,G85*'GWP reference values'!$D$6/1000,IF(Calculator!$E$11='GWP reference values'!$C$7,G85*'GWP reference values'!$D$7/1000,IF(Calculator!$E$11='GWP reference values'!$C$8,G85*'GWP reference values'!$D$8/1000,"Error")))</f>
        <v>3.2722214579422522E-4</v>
      </c>
      <c r="I85" s="2">
        <f t="shared" si="16"/>
        <v>38.401693888812453</v>
      </c>
      <c r="J85" s="3">
        <f t="shared" si="17"/>
        <v>91</v>
      </c>
    </row>
    <row r="86" spans="2:10" x14ac:dyDescent="0.25">
      <c r="C86" s="3">
        <v>92</v>
      </c>
      <c r="D86" s="3">
        <f t="shared" si="13"/>
        <v>10.607199999999999</v>
      </c>
      <c r="E86" s="3">
        <f t="shared" si="14"/>
        <v>38.893066666666662</v>
      </c>
      <c r="F86" s="2">
        <f>(0.334*0.5^((C86+5)/6.31))*'EF Adjustment Table'!I$12</f>
        <v>7.8530634498241886E-6</v>
      </c>
      <c r="G86" s="8">
        <f t="shared" si="15"/>
        <v>1.0470751266432252E-2</v>
      </c>
      <c r="H86" s="2">
        <f>IF(Calculator!$E$11='GWP reference values'!$C$6,G86*'GWP reference values'!$D$6/1000,IF(Calculator!$E$11='GWP reference values'!$C$7,G86*'GWP reference values'!$D$7/1000,IF(Calculator!$E$11='GWP reference values'!$C$8,G86*'GWP reference values'!$D$8/1000,"Error")))</f>
        <v>2.9318103546010306E-4</v>
      </c>
      <c r="I86" s="2">
        <f t="shared" si="16"/>
        <v>38.893359847702122</v>
      </c>
      <c r="J86" s="3">
        <f t="shared" si="17"/>
        <v>92</v>
      </c>
    </row>
    <row r="87" spans="2:10" x14ac:dyDescent="0.25">
      <c r="C87" s="3">
        <v>93</v>
      </c>
      <c r="D87" s="3">
        <f t="shared" si="13"/>
        <v>10.741299999999999</v>
      </c>
      <c r="E87" s="3">
        <f t="shared" si="14"/>
        <v>39.384766666666664</v>
      </c>
      <c r="F87" s="2">
        <f>(0.334*0.5^((C87+5)/6.31))*'EF Adjustment Table'!I$12</f>
        <v>7.0361046871234475E-6</v>
      </c>
      <c r="G87" s="8">
        <f t="shared" si="15"/>
        <v>9.3814729161645957E-3</v>
      </c>
      <c r="H87" s="2">
        <f>IF(Calculator!$E$11='GWP reference values'!$C$6,G87*'GWP reference values'!$D$6/1000,IF(Calculator!$E$11='GWP reference values'!$C$7,G87*'GWP reference values'!$D$7/1000,IF(Calculator!$E$11='GWP reference values'!$C$8,G87*'GWP reference values'!$D$8/1000,"Error")))</f>
        <v>2.6268124165260869E-4</v>
      </c>
      <c r="I87" s="2">
        <f t="shared" si="16"/>
        <v>39.385029347908315</v>
      </c>
      <c r="J87" s="3">
        <f t="shared" si="17"/>
        <v>93</v>
      </c>
    </row>
    <row r="88" spans="2:10" x14ac:dyDescent="0.25">
      <c r="C88" s="3">
        <v>94</v>
      </c>
      <c r="D88" s="3">
        <f t="shared" si="13"/>
        <v>10.875399999999999</v>
      </c>
      <c r="E88" s="3">
        <f t="shared" si="14"/>
        <v>39.876466666666659</v>
      </c>
      <c r="F88" s="2">
        <f>(0.334*0.5^((C88+5)/6.31))*'EF Adjustment Table'!I$12</f>
        <v>6.3041346201359125E-6</v>
      </c>
      <c r="G88" s="8">
        <f t="shared" si="15"/>
        <v>8.405512826847884E-3</v>
      </c>
      <c r="H88" s="2">
        <f>IF(Calculator!$E$11='GWP reference values'!$C$6,G88*'GWP reference values'!$D$6/1000,IF(Calculator!$E$11='GWP reference values'!$C$7,G88*'GWP reference values'!$D$7/1000,IF(Calculator!$E$11='GWP reference values'!$C$8,G88*'GWP reference values'!$D$8/1000,"Error")))</f>
        <v>2.3535435915174075E-4</v>
      </c>
      <c r="I88" s="2">
        <f t="shared" si="16"/>
        <v>39.876702021025807</v>
      </c>
      <c r="J88" s="3">
        <f t="shared" si="17"/>
        <v>94</v>
      </c>
    </row>
    <row r="89" spans="2:10" x14ac:dyDescent="0.25">
      <c r="C89" s="3">
        <v>95</v>
      </c>
      <c r="D89" s="3">
        <f t="shared" si="13"/>
        <v>11.009499999999999</v>
      </c>
      <c r="E89" s="3">
        <f t="shared" si="14"/>
        <v>40.368166666666667</v>
      </c>
      <c r="F89" s="2">
        <f>(0.334*0.5^((C89+5)/6.31))*'EF Adjustment Table'!I$12</f>
        <v>5.6483118253665211E-6</v>
      </c>
      <c r="G89" s="8">
        <f t="shared" si="15"/>
        <v>7.5310824338220284E-3</v>
      </c>
      <c r="H89" s="2">
        <f>IF(Calculator!$E$11='GWP reference values'!$C$6,G89*'GWP reference values'!$D$6/1000,IF(Calculator!$E$11='GWP reference values'!$C$7,G89*'GWP reference values'!$D$7/1000,IF(Calculator!$E$11='GWP reference values'!$C$8,G89*'GWP reference values'!$D$8/1000,"Error")))</f>
        <v>2.1087030814701679E-4</v>
      </c>
      <c r="I89" s="2">
        <f t="shared" si="16"/>
        <v>40.368377536974812</v>
      </c>
      <c r="J89" s="3">
        <f t="shared" si="17"/>
        <v>95</v>
      </c>
    </row>
    <row r="90" spans="2:10" x14ac:dyDescent="0.25">
      <c r="C90" s="3">
        <v>96</v>
      </c>
      <c r="D90" s="3">
        <f t="shared" si="13"/>
        <v>11.143599999999999</v>
      </c>
      <c r="E90" s="3">
        <f t="shared" si="14"/>
        <v>40.859866666666669</v>
      </c>
      <c r="F90" s="2">
        <f>(0.334*0.5^((C90+5)/6.31))*'EF Adjustment Table'!I$12</f>
        <v>5.0607146577538447E-6</v>
      </c>
      <c r="G90" s="8">
        <f t="shared" si="15"/>
        <v>6.7476195436717923E-3</v>
      </c>
      <c r="H90" s="2">
        <f>IF(Calculator!$E$11='GWP reference values'!$C$6,G90*'GWP reference values'!$D$6/1000,IF(Calculator!$E$11='GWP reference values'!$C$7,G90*'GWP reference values'!$D$7/1000,IF(Calculator!$E$11='GWP reference values'!$C$8,G90*'GWP reference values'!$D$8/1000,"Error")))</f>
        <v>1.889333472228102E-4</v>
      </c>
      <c r="I90" s="2">
        <f t="shared" si="16"/>
        <v>40.860055600013894</v>
      </c>
      <c r="J90" s="3">
        <f t="shared" si="17"/>
        <v>96</v>
      </c>
    </row>
    <row r="91" spans="2:10" x14ac:dyDescent="0.25">
      <c r="C91" s="3">
        <v>97</v>
      </c>
      <c r="D91" s="3">
        <f t="shared" si="13"/>
        <v>11.277699999999999</v>
      </c>
      <c r="E91" s="3">
        <f t="shared" si="14"/>
        <v>41.351566666666663</v>
      </c>
      <c r="F91" s="2">
        <f>(0.334*0.5^((C91+5)/6.31))*'EF Adjustment Table'!I$12</f>
        <v>4.5342455655841331E-6</v>
      </c>
      <c r="G91" s="8">
        <f t="shared" si="15"/>
        <v>6.0456607541121777E-3</v>
      </c>
      <c r="H91" s="2">
        <f>IF(Calculator!$E$11='GWP reference values'!$C$6,G91*'GWP reference values'!$D$6/1000,IF(Calculator!$E$11='GWP reference values'!$C$7,G91*'GWP reference values'!$D$7/1000,IF(Calculator!$E$11='GWP reference values'!$C$8,G91*'GWP reference values'!$D$8/1000,"Error")))</f>
        <v>1.6927850111514097E-4</v>
      </c>
      <c r="I91" s="2">
        <f t="shared" si="16"/>
        <v>41.351735945167775</v>
      </c>
      <c r="J91" s="3">
        <f t="shared" si="17"/>
        <v>97</v>
      </c>
    </row>
    <row r="92" spans="2:10" x14ac:dyDescent="0.25">
      <c r="C92" s="3">
        <v>98</v>
      </c>
      <c r="D92" s="3">
        <f t="shared" si="13"/>
        <v>11.411799999999999</v>
      </c>
      <c r="E92" s="3">
        <f t="shared" si="14"/>
        <v>41.843266666666665</v>
      </c>
      <c r="F92" s="2">
        <f>(0.334*0.5^((C92+5)/6.31))*'EF Adjustment Table'!I$12</f>
        <v>4.0625453595806008E-6</v>
      </c>
      <c r="G92" s="8">
        <f t="shared" si="15"/>
        <v>5.4167271461074669E-3</v>
      </c>
      <c r="H92" s="2">
        <f>IF(Calculator!$E$11='GWP reference values'!$C$6,G92*'GWP reference values'!$D$6/1000,IF(Calculator!$E$11='GWP reference values'!$C$7,G92*'GWP reference values'!$D$7/1000,IF(Calculator!$E$11='GWP reference values'!$C$8,G92*'GWP reference values'!$D$8/1000,"Error")))</f>
        <v>1.5166836009100905E-4</v>
      </c>
      <c r="I92" s="2">
        <f t="shared" si="16"/>
        <v>41.843418335026755</v>
      </c>
      <c r="J92" s="3">
        <f t="shared" si="17"/>
        <v>98</v>
      </c>
    </row>
    <row r="93" spans="2:10" x14ac:dyDescent="0.25">
      <c r="C93" s="3">
        <v>99</v>
      </c>
      <c r="D93" s="3">
        <f t="shared" si="13"/>
        <v>11.5459</v>
      </c>
      <c r="E93" s="3">
        <f t="shared" si="14"/>
        <v>42.334966666666666</v>
      </c>
      <c r="F93" s="2">
        <f>(0.334*0.5^((C93+5)/6.31))*'EF Adjustment Table'!I$12</f>
        <v>3.639916400629192E-6</v>
      </c>
      <c r="G93" s="8">
        <f t="shared" si="15"/>
        <v>4.8532218675055895E-3</v>
      </c>
      <c r="H93" s="2">
        <f>IF(Calculator!$E$11='GWP reference values'!$C$6,G93*'GWP reference values'!$D$6/1000,IF(Calculator!$E$11='GWP reference values'!$C$7,G93*'GWP reference values'!$D$7/1000,IF(Calculator!$E$11='GWP reference values'!$C$8,G93*'GWP reference values'!$D$8/1000,"Error")))</f>
        <v>1.3589021229015651E-4</v>
      </c>
      <c r="I93" s="2">
        <f t="shared" si="16"/>
        <v>42.335102556878958</v>
      </c>
      <c r="J93" s="3">
        <f t="shared" si="17"/>
        <v>99</v>
      </c>
    </row>
    <row r="94" spans="2:10" x14ac:dyDescent="0.25">
      <c r="B94" s="4"/>
      <c r="C94" s="14">
        <v>100</v>
      </c>
      <c r="D94" s="14">
        <f t="shared" si="3"/>
        <v>11.68</v>
      </c>
      <c r="E94" s="14">
        <f t="shared" si="4"/>
        <v>42.826666666666661</v>
      </c>
      <c r="F94" s="15">
        <f>(0.334*0.5^((C94+5)/6.31))*'EF Adjustment Table'!I$12</f>
        <v>3.2612537783300318E-6</v>
      </c>
      <c r="G94" s="16">
        <f t="shared" si="5"/>
        <v>4.3483383711067089E-3</v>
      </c>
      <c r="H94" s="15">
        <f>IF(Calculator!$E$11='GWP reference values'!$C$6,G94*'GWP reference values'!$D$6/1000,IF(Calculator!$E$11='GWP reference values'!$C$7,G94*'GWP reference values'!$D$7/1000,IF(Calculator!$E$11='GWP reference values'!$C$8,G94*'GWP reference values'!$D$8/1000,"Error")))</f>
        <v>1.2175347439098785E-4</v>
      </c>
      <c r="I94" s="15">
        <f t="shared" si="16"/>
        <v>42.82678842014105</v>
      </c>
      <c r="J94" s="14">
        <f t="shared" si="17"/>
        <v>100</v>
      </c>
    </row>
    <row r="96" spans="2:10" x14ac:dyDescent="0.25">
      <c r="B96" t="s">
        <v>260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J55"/>
  <sheetViews>
    <sheetView workbookViewId="0">
      <selection activeCell="L44" sqref="L44"/>
    </sheetView>
  </sheetViews>
  <sheetFormatPr defaultColWidth="9.140625"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251</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Table'!$D$14</f>
        <v>2.6099925428784498</v>
      </c>
      <c r="D7" s="10">
        <f>0.1341*C7-1.73</f>
        <v>-1.38</v>
      </c>
      <c r="E7" s="10">
        <f>D7/12*44</f>
        <v>-5.0599999999999996</v>
      </c>
      <c r="F7" s="11">
        <f>(0.334*0.5^((C7+5)/6.31))*'EF Adjustment Table'!I$14</f>
        <v>0.10743749999999999</v>
      </c>
      <c r="G7" s="12">
        <f>F7*1000*16/12</f>
        <v>143.24999999999997</v>
      </c>
      <c r="H7" s="74">
        <f>IF(Calculator!$E$11='GWP reference values'!$C$6,G7*'GWP reference values'!$D$6/1000,IF(Calculator!$E$11='GWP reference values'!$C$7,G7*'GWP reference values'!$D$7/1000,IF(Calculator!$E$11='GWP reference values'!$C$8,G7*'GWP reference values'!$D$8/1000,"Error")))</f>
        <v>4.0109999999999992</v>
      </c>
      <c r="I7" s="74">
        <f>SUM(H7,E7)</f>
        <v>-1.0490000000000004</v>
      </c>
      <c r="J7" s="75">
        <f>C7</f>
        <v>2.6099925428784498</v>
      </c>
    </row>
    <row r="8" spans="2:10" x14ac:dyDescent="0.25">
      <c r="B8" s="1" t="s">
        <v>249</v>
      </c>
      <c r="C8" s="3">
        <v>5</v>
      </c>
      <c r="D8" s="3">
        <f t="shared" ref="D8:D53" si="0">0.1341*C8-1.73</f>
        <v>-1.0594999999999999</v>
      </c>
      <c r="E8" s="3">
        <f t="shared" ref="E8:E53" si="1">D8/12*44</f>
        <v>-3.8848333333333329</v>
      </c>
      <c r="F8" s="2">
        <f>(0.334*0.5^((C8+5)/6.31))*'EF Adjustment Table'!I$14</f>
        <v>8.2629714666558815E-2</v>
      </c>
      <c r="G8" s="8">
        <f>F8*1000*16/12</f>
        <v>110.17295288874509</v>
      </c>
      <c r="H8" s="66">
        <f>IF(Calculator!$E$11='GWP reference values'!$C$6,G8*'GWP reference values'!$D$6/1000,IF(Calculator!$E$11='GWP reference values'!$C$7,G8*'GWP reference values'!$D$7/1000,IF(Calculator!$E$11='GWP reference values'!$C$8,G8*'GWP reference values'!$D$8/1000,"Error")))</f>
        <v>3.0848426808848628</v>
      </c>
      <c r="I8" s="66">
        <f>SUM(H8,E8)</f>
        <v>-0.79999065244847012</v>
      </c>
      <c r="J8" s="67">
        <f>C8</f>
        <v>5</v>
      </c>
    </row>
    <row r="9" spans="2:10" x14ac:dyDescent="0.25">
      <c r="C9" s="3">
        <v>6</v>
      </c>
      <c r="D9" s="3">
        <f t="shared" si="0"/>
        <v>-0.9254</v>
      </c>
      <c r="E9" s="3">
        <f t="shared" si="1"/>
        <v>-3.3931333333333331</v>
      </c>
      <c r="F9" s="2">
        <f>(0.334*0.5^((C9+5)/6.31))*'EF Adjustment Table'!I$14</f>
        <v>7.403369734317683E-2</v>
      </c>
      <c r="G9" s="8">
        <f t="shared" ref="G9:G53" si="2">F9*1000*16/12</f>
        <v>98.711596457569101</v>
      </c>
      <c r="H9" s="2">
        <f>IF(Calculator!$E$11='GWP reference values'!$C$6,G9*'GWP reference values'!$D$6/1000,IF(Calculator!$E$11='GWP reference values'!$C$7,G9*'GWP reference values'!$D$7/1000,IF(Calculator!$E$11='GWP reference values'!$C$8,G9*'GWP reference values'!$D$8/1000,"Error")))</f>
        <v>2.7639247008119345</v>
      </c>
      <c r="I9" s="2">
        <f t="shared" ref="I9:I53" si="3">SUM(H9,E9)</f>
        <v>-0.62920863252139858</v>
      </c>
      <c r="J9" s="3">
        <f t="shared" ref="J9:J53" si="4">C9</f>
        <v>6</v>
      </c>
    </row>
    <row r="10" spans="2:10" x14ac:dyDescent="0.25">
      <c r="C10" s="3">
        <v>7</v>
      </c>
      <c r="D10" s="3">
        <f t="shared" si="0"/>
        <v>-0.7913</v>
      </c>
      <c r="E10" s="3">
        <f t="shared" si="1"/>
        <v>-2.9014333333333333</v>
      </c>
      <c r="F10" s="2">
        <f>(0.334*0.5^((C10+5)/6.31))*'EF Adjustment Table'!I$14</f>
        <v>6.6331928706505963E-2</v>
      </c>
      <c r="G10" s="8">
        <f t="shared" si="2"/>
        <v>88.442571608674612</v>
      </c>
      <c r="H10" s="2">
        <f>IF(Calculator!$E$11='GWP reference values'!$C$6,G10*'GWP reference values'!$D$6/1000,IF(Calculator!$E$11='GWP reference values'!$C$7,G10*'GWP reference values'!$D$7/1000,IF(Calculator!$E$11='GWP reference values'!$C$8,G10*'GWP reference values'!$D$8/1000,"Error")))</f>
        <v>2.4763920050428894</v>
      </c>
      <c r="I10" s="2">
        <f t="shared" si="3"/>
        <v>-0.42504132829044394</v>
      </c>
      <c r="J10" s="3">
        <f t="shared" si="4"/>
        <v>7</v>
      </c>
    </row>
    <row r="11" spans="2:10" x14ac:dyDescent="0.25">
      <c r="C11" s="3">
        <v>8</v>
      </c>
      <c r="D11" s="3">
        <f t="shared" si="0"/>
        <v>-0.65720000000000001</v>
      </c>
      <c r="E11" s="3">
        <f t="shared" si="1"/>
        <v>-2.4097333333333331</v>
      </c>
      <c r="F11" s="2">
        <f>(0.334*0.5^((C11+5)/6.31))*'EF Adjustment Table'!I$14</f>
        <v>5.9431379545040401E-2</v>
      </c>
      <c r="G11" s="8">
        <f t="shared" si="2"/>
        <v>79.241839393387195</v>
      </c>
      <c r="H11" s="2">
        <f>IF(Calculator!$E$11='GWP reference values'!$C$6,G11*'GWP reference values'!$D$6/1000,IF(Calculator!$E$11='GWP reference values'!$C$7,G11*'GWP reference values'!$D$7/1000,IF(Calculator!$E$11='GWP reference values'!$C$8,G11*'GWP reference values'!$D$8/1000,"Error")))</f>
        <v>2.2187715030148416</v>
      </c>
      <c r="I11" s="2">
        <f t="shared" si="3"/>
        <v>-0.19096183031849145</v>
      </c>
      <c r="J11" s="3">
        <f t="shared" si="4"/>
        <v>8</v>
      </c>
    </row>
    <row r="12" spans="2:10" x14ac:dyDescent="0.25">
      <c r="C12" s="3">
        <v>9</v>
      </c>
      <c r="D12" s="3">
        <f t="shared" si="0"/>
        <v>-0.5230999999999999</v>
      </c>
      <c r="E12" s="3">
        <f t="shared" si="1"/>
        <v>-1.918033333333333</v>
      </c>
      <c r="F12" s="2">
        <f>(0.334*0.5^((C12+5)/6.31))*'EF Adjustment Table'!I$14</f>
        <v>5.3248698530308398E-2</v>
      </c>
      <c r="G12" s="8">
        <f t="shared" si="2"/>
        <v>70.998264707077865</v>
      </c>
      <c r="H12" s="2">
        <f>IF(Calculator!$E$11='GWP reference values'!$C$6,G12*'GWP reference values'!$D$6/1000,IF(Calculator!$E$11='GWP reference values'!$C$7,G12*'GWP reference values'!$D$7/1000,IF(Calculator!$E$11='GWP reference values'!$C$8,G12*'GWP reference values'!$D$8/1000,"Error")))</f>
        <v>1.9879514117981802</v>
      </c>
      <c r="I12" s="2">
        <f t="shared" si="3"/>
        <v>6.9918078464847211E-2</v>
      </c>
      <c r="J12" s="3">
        <f t="shared" si="4"/>
        <v>9</v>
      </c>
    </row>
    <row r="13" spans="2:10" x14ac:dyDescent="0.25">
      <c r="C13" s="3">
        <v>10</v>
      </c>
      <c r="D13" s="3">
        <f t="shared" si="0"/>
        <v>-0.38900000000000001</v>
      </c>
      <c r="E13" s="3">
        <f t="shared" si="1"/>
        <v>-1.4263333333333335</v>
      </c>
      <c r="F13" s="2">
        <f>(0.334*0.5^((C13+5)/6.31))*'EF Adjustment Table'!I$14</f>
        <v>4.7709205421065923E-2</v>
      </c>
      <c r="G13" s="8">
        <f t="shared" si="2"/>
        <v>63.612273894754566</v>
      </c>
      <c r="H13" s="2">
        <f>IF(Calculator!$E$11='GWP reference values'!$C$6,G13*'GWP reference values'!$D$6/1000,IF(Calculator!$E$11='GWP reference values'!$C$7,G13*'GWP reference values'!$D$7/1000,IF(Calculator!$E$11='GWP reference values'!$C$8,G13*'GWP reference values'!$D$8/1000,"Error")))</f>
        <v>1.7811436690531277</v>
      </c>
      <c r="I13" s="2">
        <f t="shared" si="3"/>
        <v>0.35481033571979426</v>
      </c>
      <c r="J13" s="3">
        <f t="shared" si="4"/>
        <v>10</v>
      </c>
    </row>
    <row r="14" spans="2:10" x14ac:dyDescent="0.25">
      <c r="C14" s="3">
        <v>11</v>
      </c>
      <c r="D14" s="3">
        <f t="shared" si="0"/>
        <v>-0.25490000000000013</v>
      </c>
      <c r="E14" s="3">
        <f t="shared" si="1"/>
        <v>-0.93463333333333376</v>
      </c>
      <c r="F14" s="2">
        <f>(0.334*0.5^((C14+5)/6.31))*'EF Adjustment Table'!I$14</f>
        <v>4.2745989005043991E-2</v>
      </c>
      <c r="G14" s="8">
        <f t="shared" si="2"/>
        <v>56.994652006725318</v>
      </c>
      <c r="H14" s="2">
        <f>IF(Calculator!$E$11='GWP reference values'!$C$6,G14*'GWP reference values'!$D$6/1000,IF(Calculator!$E$11='GWP reference values'!$C$7,G14*'GWP reference values'!$D$7/1000,IF(Calculator!$E$11='GWP reference values'!$C$8,G14*'GWP reference values'!$D$8/1000,"Error")))</f>
        <v>1.5958502561883088</v>
      </c>
      <c r="I14" s="2">
        <f t="shared" si="3"/>
        <v>0.66121692285497502</v>
      </c>
      <c r="J14" s="3">
        <f t="shared" si="4"/>
        <v>11</v>
      </c>
    </row>
    <row r="15" spans="2:10" x14ac:dyDescent="0.25">
      <c r="C15" s="3">
        <v>12</v>
      </c>
      <c r="D15" s="3">
        <f t="shared" si="0"/>
        <v>-0.12080000000000002</v>
      </c>
      <c r="E15" s="3">
        <f t="shared" si="1"/>
        <v>-0.4429333333333334</v>
      </c>
      <c r="F15" s="2">
        <f>(0.334*0.5^((C15+5)/6.31))*'EF Adjustment Table'!I$14</f>
        <v>3.8299098882341412E-2</v>
      </c>
      <c r="G15" s="8">
        <f t="shared" si="2"/>
        <v>51.065465176455213</v>
      </c>
      <c r="H15" s="2">
        <f>IF(Calculator!$E$11='GWP reference values'!$C$6,G15*'GWP reference values'!$D$6/1000,IF(Calculator!$E$11='GWP reference values'!$C$7,G15*'GWP reference values'!$D$7/1000,IF(Calculator!$E$11='GWP reference values'!$C$8,G15*'GWP reference values'!$D$8/1000,"Error")))</f>
        <v>1.4298330249407458</v>
      </c>
      <c r="I15" s="2">
        <f t="shared" si="3"/>
        <v>0.98689969160741242</v>
      </c>
      <c r="J15" s="3">
        <f t="shared" si="4"/>
        <v>12</v>
      </c>
    </row>
    <row r="16" spans="2:10" x14ac:dyDescent="0.25">
      <c r="C16" s="3">
        <v>13</v>
      </c>
      <c r="D16" s="3">
        <f t="shared" si="0"/>
        <v>1.330000000000009E-2</v>
      </c>
      <c r="E16" s="3">
        <f t="shared" si="1"/>
        <v>4.8766666666666993E-2</v>
      </c>
      <c r="F16" s="2">
        <f>(0.334*0.5^((C16+5)/6.31))*'EF Adjustment Table'!I$14</f>
        <v>3.4314821328061483E-2</v>
      </c>
      <c r="G16" s="8">
        <f t="shared" si="2"/>
        <v>45.753095104081979</v>
      </c>
      <c r="H16" s="2">
        <f>IF(Calculator!$E$11='GWP reference values'!$C$6,G16*'GWP reference values'!$D$6/1000,IF(Calculator!$E$11='GWP reference values'!$C$7,G16*'GWP reference values'!$D$7/1000,IF(Calculator!$E$11='GWP reference values'!$C$8,G16*'GWP reference values'!$D$8/1000,"Error")))</f>
        <v>1.2810866629142954</v>
      </c>
      <c r="I16" s="2">
        <f t="shared" si="3"/>
        <v>1.3298533295809625</v>
      </c>
      <c r="J16" s="3">
        <f t="shared" si="4"/>
        <v>13</v>
      </c>
    </row>
    <row r="17" spans="3:10" x14ac:dyDescent="0.25">
      <c r="C17" s="3">
        <v>14</v>
      </c>
      <c r="D17" s="3">
        <f t="shared" si="0"/>
        <v>0.14739999999999998</v>
      </c>
      <c r="E17" s="3">
        <f t="shared" si="1"/>
        <v>0.54046666666666665</v>
      </c>
      <c r="F17" s="2">
        <f>(0.334*0.5^((C17+5)/6.31))*'EF Adjustment Table'!I$14</f>
        <v>3.0745030487380403E-2</v>
      </c>
      <c r="G17" s="8">
        <f t="shared" si="2"/>
        <v>40.993373983173875</v>
      </c>
      <c r="H17" s="2">
        <f>IF(Calculator!$E$11='GWP reference values'!$C$6,G17*'GWP reference values'!$D$6/1000,IF(Calculator!$E$11='GWP reference values'!$C$7,G17*'GWP reference values'!$D$7/1000,IF(Calculator!$E$11='GWP reference values'!$C$8,G17*'GWP reference values'!$D$8/1000,"Error")))</f>
        <v>1.1478144715288685</v>
      </c>
      <c r="I17" s="2">
        <f t="shared" si="3"/>
        <v>1.6882811381955352</v>
      </c>
      <c r="J17" s="3">
        <f t="shared" si="4"/>
        <v>14</v>
      </c>
    </row>
    <row r="18" spans="3:10" x14ac:dyDescent="0.25">
      <c r="C18" s="3">
        <v>15</v>
      </c>
      <c r="D18" s="3">
        <f t="shared" si="0"/>
        <v>0.28149999999999986</v>
      </c>
      <c r="E18" s="3">
        <f t="shared" si="1"/>
        <v>1.032166666666666</v>
      </c>
      <c r="F18" s="2">
        <f>(0.334*0.5^((C18+5)/6.31))*'EF Adjustment Table'!I$14</f>
        <v>2.754660706617032E-2</v>
      </c>
      <c r="G18" s="8">
        <f t="shared" si="2"/>
        <v>36.728809421560427</v>
      </c>
      <c r="H18" s="2">
        <f>IF(Calculator!$E$11='GWP reference values'!$C$6,G18*'GWP reference values'!$D$6/1000,IF(Calculator!$E$11='GWP reference values'!$C$7,G18*'GWP reference values'!$D$7/1000,IF(Calculator!$E$11='GWP reference values'!$C$8,G18*'GWP reference values'!$D$8/1000,"Error")))</f>
        <v>1.0284066638036919</v>
      </c>
      <c r="I18" s="2">
        <f t="shared" si="3"/>
        <v>2.060573330470358</v>
      </c>
      <c r="J18" s="3">
        <f t="shared" si="4"/>
        <v>15</v>
      </c>
    </row>
    <row r="19" spans="3:10" x14ac:dyDescent="0.25">
      <c r="C19" s="3">
        <v>16</v>
      </c>
      <c r="D19" s="3">
        <f t="shared" si="0"/>
        <v>0.41559999999999997</v>
      </c>
      <c r="E19" s="3">
        <f t="shared" si="1"/>
        <v>1.5238666666666665</v>
      </c>
      <c r="F19" s="2">
        <f>(0.334*0.5^((C19+5)/6.31))*'EF Adjustment Table'!I$14</f>
        <v>2.4680917495575345E-2</v>
      </c>
      <c r="G19" s="8">
        <f t="shared" si="2"/>
        <v>32.907889994100458</v>
      </c>
      <c r="H19" s="2">
        <f>IF(Calculator!$E$11='GWP reference values'!$C$6,G19*'GWP reference values'!$D$6/1000,IF(Calculator!$E$11='GWP reference values'!$C$7,G19*'GWP reference values'!$D$7/1000,IF(Calculator!$E$11='GWP reference values'!$C$8,G19*'GWP reference values'!$D$8/1000,"Error")))</f>
        <v>0.92142091983481278</v>
      </c>
      <c r="I19" s="2">
        <f t="shared" si="3"/>
        <v>2.4452875865014794</v>
      </c>
      <c r="J19" s="3">
        <f t="shared" si="4"/>
        <v>16</v>
      </c>
    </row>
    <row r="20" spans="3:10" x14ac:dyDescent="0.25">
      <c r="C20" s="3">
        <v>17</v>
      </c>
      <c r="D20" s="3">
        <f t="shared" si="0"/>
        <v>0.54970000000000008</v>
      </c>
      <c r="E20" s="3">
        <f t="shared" si="1"/>
        <v>2.015566666666667</v>
      </c>
      <c r="F20" s="2">
        <f>(0.334*0.5^((C20+5)/6.31))*'EF Adjustment Table'!I$14</f>
        <v>2.2113347279399957E-2</v>
      </c>
      <c r="G20" s="8">
        <f t="shared" si="2"/>
        <v>29.484463039199941</v>
      </c>
      <c r="H20" s="2">
        <f>IF(Calculator!$E$11='GWP reference values'!$C$6,G20*'GWP reference values'!$D$6/1000,IF(Calculator!$E$11='GWP reference values'!$C$7,G20*'GWP reference values'!$D$7/1000,IF(Calculator!$E$11='GWP reference values'!$C$8,G20*'GWP reference values'!$D$8/1000,"Error")))</f>
        <v>0.82556496509759836</v>
      </c>
      <c r="I20" s="2">
        <f t="shared" si="3"/>
        <v>2.8411316317642652</v>
      </c>
      <c r="J20" s="3">
        <f t="shared" si="4"/>
        <v>17</v>
      </c>
    </row>
    <row r="21" spans="3:10" x14ac:dyDescent="0.25">
      <c r="C21" s="3">
        <v>18</v>
      </c>
      <c r="D21" s="3">
        <f t="shared" si="0"/>
        <v>0.68380000000000019</v>
      </c>
      <c r="E21" s="3">
        <f t="shared" si="1"/>
        <v>2.5072666666666676</v>
      </c>
      <c r="F21" s="2">
        <f>(0.334*0.5^((C21+5)/6.31))*'EF Adjustment Table'!I$14</f>
        <v>1.9812882887640253E-2</v>
      </c>
      <c r="G21" s="8">
        <f t="shared" si="2"/>
        <v>26.417177183520337</v>
      </c>
      <c r="H21" s="2">
        <f>IF(Calculator!$E$11='GWP reference values'!$C$6,G21*'GWP reference values'!$D$6/1000,IF(Calculator!$E$11='GWP reference values'!$C$7,G21*'GWP reference values'!$D$7/1000,IF(Calculator!$E$11='GWP reference values'!$C$8,G21*'GWP reference values'!$D$8/1000,"Error")))</f>
        <v>0.73968096113856951</v>
      </c>
      <c r="I21" s="2">
        <f t="shared" si="3"/>
        <v>3.2469476278052372</v>
      </c>
      <c r="J21" s="3">
        <f t="shared" si="4"/>
        <v>18</v>
      </c>
    </row>
    <row r="22" spans="3:10" x14ac:dyDescent="0.25">
      <c r="C22" s="3">
        <v>19</v>
      </c>
      <c r="D22" s="3">
        <f t="shared" si="0"/>
        <v>0.81789999999999985</v>
      </c>
      <c r="E22" s="3">
        <f t="shared" si="1"/>
        <v>2.9989666666666661</v>
      </c>
      <c r="F22" s="2">
        <f>(0.334*0.5^((C22+5)/6.31))*'EF Adjustment Table'!I$14</f>
        <v>1.7751737145874538E-2</v>
      </c>
      <c r="G22" s="8">
        <f t="shared" si="2"/>
        <v>23.668982861166054</v>
      </c>
      <c r="H22" s="2">
        <f>IF(Calculator!$E$11='GWP reference values'!$C$6,G22*'GWP reference values'!$D$6/1000,IF(Calculator!$E$11='GWP reference values'!$C$7,G22*'GWP reference values'!$D$7/1000,IF(Calculator!$E$11='GWP reference values'!$C$8,G22*'GWP reference values'!$D$8/1000,"Error")))</f>
        <v>0.66273152011264946</v>
      </c>
      <c r="I22" s="2">
        <f t="shared" si="3"/>
        <v>3.6616981867793155</v>
      </c>
      <c r="J22" s="3">
        <f t="shared" si="4"/>
        <v>19</v>
      </c>
    </row>
    <row r="23" spans="3:10" x14ac:dyDescent="0.25">
      <c r="C23" s="3">
        <v>20</v>
      </c>
      <c r="D23" s="3">
        <f t="shared" si="0"/>
        <v>0.95199999999999996</v>
      </c>
      <c r="E23" s="3">
        <f t="shared" si="1"/>
        <v>3.4906666666666664</v>
      </c>
      <c r="F23" s="2">
        <f>(0.334*0.5^((C23+5)/6.31))*'EF Adjustment Table'!I$14</f>
        <v>1.5905013595613787E-2</v>
      </c>
      <c r="G23" s="8">
        <f t="shared" si="2"/>
        <v>21.206684794151716</v>
      </c>
      <c r="H23" s="2">
        <f>IF(Calculator!$E$11='GWP reference values'!$C$6,G23*'GWP reference values'!$D$6/1000,IF(Calculator!$E$11='GWP reference values'!$C$7,G23*'GWP reference values'!$D$7/1000,IF(Calculator!$E$11='GWP reference values'!$C$8,G23*'GWP reference values'!$D$8/1000,"Error")))</f>
        <v>0.59378717423624805</v>
      </c>
      <c r="I23" s="2">
        <f t="shared" si="3"/>
        <v>4.0844538409029143</v>
      </c>
      <c r="J23" s="3">
        <f t="shared" si="4"/>
        <v>20</v>
      </c>
    </row>
    <row r="24" spans="3:10" x14ac:dyDescent="0.25">
      <c r="C24" s="3">
        <v>21</v>
      </c>
      <c r="D24" s="3">
        <f t="shared" si="0"/>
        <v>1.0861000000000001</v>
      </c>
      <c r="E24" s="3">
        <f t="shared" si="1"/>
        <v>3.9823666666666671</v>
      </c>
      <c r="F24" s="2">
        <f>(0.334*0.5^((C24+5)/6.31))*'EF Adjustment Table'!I$14</f>
        <v>1.4250405771440168E-2</v>
      </c>
      <c r="G24" s="8">
        <f t="shared" si="2"/>
        <v>19.000541028586891</v>
      </c>
      <c r="H24" s="2">
        <f>IF(Calculator!$E$11='GWP reference values'!$C$6,G24*'GWP reference values'!$D$6/1000,IF(Calculator!$E$11='GWP reference values'!$C$7,G24*'GWP reference values'!$D$7/1000,IF(Calculator!$E$11='GWP reference values'!$C$8,G24*'GWP reference values'!$D$8/1000,"Error")))</f>
        <v>0.53201514880043299</v>
      </c>
      <c r="I24" s="2">
        <f t="shared" si="3"/>
        <v>4.5143818154671003</v>
      </c>
      <c r="J24" s="3">
        <f t="shared" si="4"/>
        <v>21</v>
      </c>
    </row>
    <row r="25" spans="3:10" x14ac:dyDescent="0.25">
      <c r="C25" s="3">
        <v>22</v>
      </c>
      <c r="D25" s="3">
        <f t="shared" si="0"/>
        <v>1.2201999999999997</v>
      </c>
      <c r="E25" s="3">
        <f t="shared" si="1"/>
        <v>4.4740666666666655</v>
      </c>
      <c r="F25" s="2">
        <f>(0.334*0.5^((C25+5)/6.31))*'EF Adjustment Table'!I$14</f>
        <v>1.2767927762519997E-2</v>
      </c>
      <c r="G25" s="8">
        <f t="shared" si="2"/>
        <v>17.023903683359997</v>
      </c>
      <c r="H25" s="2">
        <f>IF(Calculator!$E$11='GWP reference values'!$C$6,G25*'GWP reference values'!$D$6/1000,IF(Calculator!$E$11='GWP reference values'!$C$7,G25*'GWP reference values'!$D$7/1000,IF(Calculator!$E$11='GWP reference values'!$C$8,G25*'GWP reference values'!$D$8/1000,"Error")))</f>
        <v>0.4766693031340799</v>
      </c>
      <c r="I25" s="2">
        <f t="shared" si="3"/>
        <v>4.9507359698007454</v>
      </c>
      <c r="J25" s="3">
        <f t="shared" si="4"/>
        <v>22</v>
      </c>
    </row>
    <row r="26" spans="3:10" x14ac:dyDescent="0.25">
      <c r="C26" s="3">
        <v>23</v>
      </c>
      <c r="D26" s="3">
        <f t="shared" ref="D26:D42" si="5">0.1341*C26-1.73</f>
        <v>1.3542999999999998</v>
      </c>
      <c r="E26" s="3">
        <f t="shared" ref="E26:E42" si="6">D26/12*44</f>
        <v>4.9657666666666662</v>
      </c>
      <c r="F26" s="2">
        <f>(0.334*0.5^((C26+5)/6.31))*'EF Adjustment Table'!I$14</f>
        <v>1.1439672803959312E-2</v>
      </c>
      <c r="G26" s="8">
        <f t="shared" ref="G26:G42" si="7">F26*1000*16/12</f>
        <v>15.252897071945748</v>
      </c>
      <c r="H26" s="2">
        <f>IF(Calculator!$E$11='GWP reference values'!$C$6,G26*'GWP reference values'!$D$6/1000,IF(Calculator!$E$11='GWP reference values'!$C$7,G26*'GWP reference values'!$D$7/1000,IF(Calculator!$E$11='GWP reference values'!$C$8,G26*'GWP reference values'!$D$8/1000,"Error")))</f>
        <v>0.4270811180144809</v>
      </c>
      <c r="I26" s="2">
        <f t="shared" ref="I26:I42" si="8">SUM(H26,E26)</f>
        <v>5.3928477846811473</v>
      </c>
      <c r="J26" s="3">
        <f t="shared" ref="J26:J42" si="9">C26</f>
        <v>23</v>
      </c>
    </row>
    <row r="27" spans="3:10" x14ac:dyDescent="0.25">
      <c r="C27" s="3">
        <v>24</v>
      </c>
      <c r="D27" s="3">
        <f t="shared" si="5"/>
        <v>1.4883999999999999</v>
      </c>
      <c r="E27" s="3">
        <f t="shared" si="6"/>
        <v>5.4574666666666669</v>
      </c>
      <c r="F27" s="2">
        <f>(0.334*0.5^((C27+5)/6.31))*'EF Adjustment Table'!I$14</f>
        <v>1.0249596982041302E-2</v>
      </c>
      <c r="G27" s="8">
        <f t="shared" si="7"/>
        <v>13.666129309388403</v>
      </c>
      <c r="H27" s="2">
        <f>IF(Calculator!$E$11='GWP reference values'!$C$6,G27*'GWP reference values'!$D$6/1000,IF(Calculator!$E$11='GWP reference values'!$C$7,G27*'GWP reference values'!$D$7/1000,IF(Calculator!$E$11='GWP reference values'!$C$8,G27*'GWP reference values'!$D$8/1000,"Error")))</f>
        <v>0.38265162066287528</v>
      </c>
      <c r="I27" s="2">
        <f t="shared" si="8"/>
        <v>5.8401182873295419</v>
      </c>
      <c r="J27" s="3">
        <f t="shared" si="9"/>
        <v>24</v>
      </c>
    </row>
    <row r="28" spans="3:10" x14ac:dyDescent="0.25">
      <c r="C28" s="3">
        <v>25</v>
      </c>
      <c r="D28" s="3">
        <f t="shared" si="5"/>
        <v>1.6225000000000001</v>
      </c>
      <c r="E28" s="3">
        <f t="shared" si="6"/>
        <v>5.9491666666666676</v>
      </c>
      <c r="F28" s="2">
        <f>(0.334*0.5^((C28+5)/6.31))*'EF Adjustment Table'!I$14</f>
        <v>9.1833254407338027E-3</v>
      </c>
      <c r="G28" s="8">
        <f t="shared" si="7"/>
        <v>12.244433920978404</v>
      </c>
      <c r="H28" s="2">
        <f>IF(Calculator!$E$11='GWP reference values'!$C$6,G28*'GWP reference values'!$D$6/1000,IF(Calculator!$E$11='GWP reference values'!$C$7,G28*'GWP reference values'!$D$7/1000,IF(Calculator!$E$11='GWP reference values'!$C$8,G28*'GWP reference values'!$D$8/1000,"Error")))</f>
        <v>0.3428441497873953</v>
      </c>
      <c r="I28" s="2">
        <f t="shared" si="8"/>
        <v>6.2920108164540629</v>
      </c>
      <c r="J28" s="3">
        <f t="shared" si="9"/>
        <v>25</v>
      </c>
    </row>
    <row r="29" spans="3:10" x14ac:dyDescent="0.25">
      <c r="C29" s="3">
        <v>26</v>
      </c>
      <c r="D29" s="3">
        <f t="shared" si="5"/>
        <v>1.7566000000000002</v>
      </c>
      <c r="E29" s="3">
        <f t="shared" si="6"/>
        <v>6.4408666666666665</v>
      </c>
      <c r="F29" s="2">
        <f>(0.334*0.5^((C29+5)/6.31))*'EF Adjustment Table'!I$14</f>
        <v>8.2279787486466451E-3</v>
      </c>
      <c r="G29" s="8">
        <f t="shared" si="7"/>
        <v>10.97063833152886</v>
      </c>
      <c r="H29" s="2">
        <f>IF(Calculator!$E$11='GWP reference values'!$C$6,G29*'GWP reference values'!$D$6/1000,IF(Calculator!$E$11='GWP reference values'!$C$7,G29*'GWP reference values'!$D$7/1000,IF(Calculator!$E$11='GWP reference values'!$C$8,G29*'GWP reference values'!$D$8/1000,"Error")))</f>
        <v>0.3071778732828081</v>
      </c>
      <c r="I29" s="2">
        <f t="shared" si="8"/>
        <v>6.7480445399494746</v>
      </c>
      <c r="J29" s="3">
        <f t="shared" si="9"/>
        <v>26</v>
      </c>
    </row>
    <row r="30" spans="3:10" x14ac:dyDescent="0.25">
      <c r="C30" s="3">
        <v>27</v>
      </c>
      <c r="D30" s="3">
        <f t="shared" si="5"/>
        <v>1.8906999999999998</v>
      </c>
      <c r="E30" s="3">
        <f t="shared" si="6"/>
        <v>6.9325666666666663</v>
      </c>
      <c r="F30" s="2">
        <f>(0.334*0.5^((C30+5)/6.31))*'EF Adjustment Table'!I$14</f>
        <v>7.3720173291355424E-3</v>
      </c>
      <c r="G30" s="8">
        <f t="shared" si="7"/>
        <v>9.8293564388473893</v>
      </c>
      <c r="H30" s="2">
        <f>IF(Calculator!$E$11='GWP reference values'!$C$6,G30*'GWP reference values'!$D$6/1000,IF(Calculator!$E$11='GWP reference values'!$C$7,G30*'GWP reference values'!$D$7/1000,IF(Calculator!$E$11='GWP reference values'!$C$8,G30*'GWP reference values'!$D$8/1000,"Error")))</f>
        <v>0.27522198028772693</v>
      </c>
      <c r="I30" s="2">
        <f t="shared" si="8"/>
        <v>7.207788646954393</v>
      </c>
      <c r="J30" s="3">
        <f t="shared" si="9"/>
        <v>27</v>
      </c>
    </row>
    <row r="31" spans="3:10" x14ac:dyDescent="0.25">
      <c r="C31" s="3">
        <v>28</v>
      </c>
      <c r="D31" s="3">
        <f t="shared" si="5"/>
        <v>2.0247999999999999</v>
      </c>
      <c r="E31" s="3">
        <f t="shared" si="6"/>
        <v>7.4242666666666661</v>
      </c>
      <c r="F31" s="2">
        <f>(0.334*0.5^((C31+5)/6.31))*'EF Adjustment Table'!I$14</f>
        <v>6.6051020744327732E-3</v>
      </c>
      <c r="G31" s="8">
        <f t="shared" si="7"/>
        <v>8.8068027659103638</v>
      </c>
      <c r="H31" s="2">
        <f>IF(Calculator!$E$11='GWP reference values'!$C$6,G31*'GWP reference values'!$D$6/1000,IF(Calculator!$E$11='GWP reference values'!$C$7,G31*'GWP reference values'!$D$7/1000,IF(Calculator!$E$11='GWP reference values'!$C$8,G31*'GWP reference values'!$D$8/1000,"Error")))</f>
        <v>0.2465904774454902</v>
      </c>
      <c r="I31" s="2">
        <f t="shared" si="8"/>
        <v>7.6708571441121567</v>
      </c>
      <c r="J31" s="3">
        <f t="shared" si="9"/>
        <v>28</v>
      </c>
    </row>
    <row r="32" spans="3:10" x14ac:dyDescent="0.25">
      <c r="C32" s="3">
        <v>29</v>
      </c>
      <c r="D32" s="3">
        <f t="shared" si="5"/>
        <v>2.1589</v>
      </c>
      <c r="E32" s="3">
        <f t="shared" si="6"/>
        <v>7.9159666666666668</v>
      </c>
      <c r="F32" s="2">
        <f>(0.334*0.5^((C32+5)/6.31))*'EF Adjustment Table'!I$14</f>
        <v>5.9179694601710813E-3</v>
      </c>
      <c r="G32" s="8">
        <f t="shared" si="7"/>
        <v>7.890625946894775</v>
      </c>
      <c r="H32" s="2">
        <f>IF(Calculator!$E$11='GWP reference values'!$C$6,G32*'GWP reference values'!$D$6/1000,IF(Calculator!$E$11='GWP reference values'!$C$7,G32*'GWP reference values'!$D$7/1000,IF(Calculator!$E$11='GWP reference values'!$C$8,G32*'GWP reference values'!$D$8/1000,"Error")))</f>
        <v>0.22093752651305371</v>
      </c>
      <c r="I32" s="2">
        <f t="shared" si="8"/>
        <v>8.1369041931797206</v>
      </c>
      <c r="J32" s="3">
        <f t="shared" si="9"/>
        <v>29</v>
      </c>
    </row>
    <row r="33" spans="3:10" x14ac:dyDescent="0.25">
      <c r="C33" s="3">
        <v>30</v>
      </c>
      <c r="D33" s="3">
        <f t="shared" si="5"/>
        <v>2.2929999999999997</v>
      </c>
      <c r="E33" s="3">
        <f t="shared" si="6"/>
        <v>8.4076666666666657</v>
      </c>
      <c r="F33" s="2">
        <f>(0.334*0.5^((C33+5)/6.31))*'EF Adjustment Table'!I$14</f>
        <v>5.3023196518163142E-3</v>
      </c>
      <c r="G33" s="8">
        <f t="shared" si="7"/>
        <v>7.069759535755086</v>
      </c>
      <c r="H33" s="2">
        <f>IF(Calculator!$E$11='GWP reference values'!$C$6,G33*'GWP reference values'!$D$6/1000,IF(Calculator!$E$11='GWP reference values'!$C$7,G33*'GWP reference values'!$D$7/1000,IF(Calculator!$E$11='GWP reference values'!$C$8,G33*'GWP reference values'!$D$8/1000,"Error")))</f>
        <v>0.19795326700114241</v>
      </c>
      <c r="I33" s="2">
        <f t="shared" si="8"/>
        <v>8.6056199336678088</v>
      </c>
      <c r="J33" s="3">
        <f t="shared" si="9"/>
        <v>30</v>
      </c>
    </row>
    <row r="34" spans="3:10" x14ac:dyDescent="0.25">
      <c r="C34" s="3">
        <v>31</v>
      </c>
      <c r="D34" s="3">
        <f t="shared" si="5"/>
        <v>2.4270999999999998</v>
      </c>
      <c r="E34" s="3">
        <f t="shared" si="6"/>
        <v>8.8993666666666655</v>
      </c>
      <c r="F34" s="2">
        <f>(0.334*0.5^((C34+5)/6.31))*'EF Adjustment Table'!I$14</f>
        <v>4.7507162514530323E-3</v>
      </c>
      <c r="G34" s="8">
        <f t="shared" si="7"/>
        <v>6.3342883352707098</v>
      </c>
      <c r="H34" s="2">
        <f>IF(Calculator!$E$11='GWP reference values'!$C$6,G34*'GWP reference values'!$D$6/1000,IF(Calculator!$E$11='GWP reference values'!$C$7,G34*'GWP reference values'!$D$7/1000,IF(Calculator!$E$11='GWP reference values'!$C$8,G34*'GWP reference values'!$D$8/1000,"Error")))</f>
        <v>0.17736007338757986</v>
      </c>
      <c r="I34" s="2">
        <f t="shared" si="8"/>
        <v>9.0767267400542462</v>
      </c>
      <c r="J34" s="3">
        <f t="shared" si="9"/>
        <v>31</v>
      </c>
    </row>
    <row r="35" spans="3:10" x14ac:dyDescent="0.25">
      <c r="C35" s="3">
        <v>32</v>
      </c>
      <c r="D35" s="3">
        <f t="shared" si="5"/>
        <v>2.5611999999999999</v>
      </c>
      <c r="E35" s="3">
        <f t="shared" si="6"/>
        <v>9.3910666666666671</v>
      </c>
      <c r="F35" s="2">
        <f>(0.334*0.5^((C35+5)/6.31))*'EF Adjustment Table'!I$14</f>
        <v>4.256496473970371E-3</v>
      </c>
      <c r="G35" s="8">
        <f t="shared" si="7"/>
        <v>5.6753286319604941</v>
      </c>
      <c r="H35" s="2">
        <f>IF(Calculator!$E$11='GWP reference values'!$C$6,G35*'GWP reference values'!$D$6/1000,IF(Calculator!$E$11='GWP reference values'!$C$7,G35*'GWP reference values'!$D$7/1000,IF(Calculator!$E$11='GWP reference values'!$C$8,G35*'GWP reference values'!$D$8/1000,"Error")))</f>
        <v>0.15890920169489384</v>
      </c>
      <c r="I35" s="2">
        <f t="shared" si="8"/>
        <v>9.5499758683615603</v>
      </c>
      <c r="J35" s="3">
        <f t="shared" si="9"/>
        <v>32</v>
      </c>
    </row>
    <row r="36" spans="3:10" x14ac:dyDescent="0.25">
      <c r="C36" s="3">
        <v>33</v>
      </c>
      <c r="D36" s="3">
        <f t="shared" si="5"/>
        <v>2.6953</v>
      </c>
      <c r="E36" s="3">
        <f t="shared" si="6"/>
        <v>9.8827666666666669</v>
      </c>
      <c r="F36" s="2">
        <f>(0.334*0.5^((C36+5)/6.31))*'EF Adjustment Table'!I$14</f>
        <v>3.8136906676715949E-3</v>
      </c>
      <c r="G36" s="8">
        <f t="shared" si="7"/>
        <v>5.0849208902287932</v>
      </c>
      <c r="H36" s="2">
        <f>IF(Calculator!$E$11='GWP reference values'!$C$6,G36*'GWP reference values'!$D$6/1000,IF(Calculator!$E$11='GWP reference values'!$C$7,G36*'GWP reference values'!$D$7/1000,IF(Calculator!$E$11='GWP reference values'!$C$8,G36*'GWP reference values'!$D$8/1000,"Error")))</f>
        <v>0.14237778492640621</v>
      </c>
      <c r="I36" s="2">
        <f t="shared" si="8"/>
        <v>10.025144451593073</v>
      </c>
      <c r="J36" s="3">
        <f t="shared" si="9"/>
        <v>33</v>
      </c>
    </row>
    <row r="37" spans="3:10" x14ac:dyDescent="0.25">
      <c r="C37" s="3">
        <v>34</v>
      </c>
      <c r="D37" s="3">
        <f t="shared" si="5"/>
        <v>2.8294000000000001</v>
      </c>
      <c r="E37" s="3">
        <f t="shared" si="6"/>
        <v>10.374466666666667</v>
      </c>
      <c r="F37" s="2">
        <f>(0.334*0.5^((C37+5)/6.31))*'EF Adjustment Table'!I$14</f>
        <v>3.4169502072014736E-3</v>
      </c>
      <c r="G37" s="8">
        <f t="shared" si="7"/>
        <v>4.5559336096019649</v>
      </c>
      <c r="H37" s="2">
        <f>IF(Calculator!$E$11='GWP reference values'!$C$6,G37*'GWP reference values'!$D$6/1000,IF(Calculator!$E$11='GWP reference values'!$C$7,G37*'GWP reference values'!$D$7/1000,IF(Calculator!$E$11='GWP reference values'!$C$8,G37*'GWP reference values'!$D$8/1000,"Error")))</f>
        <v>0.12756614106885503</v>
      </c>
      <c r="I37" s="2">
        <f t="shared" si="8"/>
        <v>10.502032807735521</v>
      </c>
      <c r="J37" s="3">
        <f t="shared" si="9"/>
        <v>34</v>
      </c>
    </row>
    <row r="38" spans="3:10" x14ac:dyDescent="0.25">
      <c r="C38" s="3">
        <v>35</v>
      </c>
      <c r="D38" s="3">
        <f t="shared" si="5"/>
        <v>2.9635000000000002</v>
      </c>
      <c r="E38" s="3">
        <f t="shared" si="6"/>
        <v>10.866166666666668</v>
      </c>
      <c r="F38" s="2">
        <f>(0.334*0.5^((C38+5)/6.31))*'EF Adjustment Table'!I$14</f>
        <v>3.0614828878144378E-3</v>
      </c>
      <c r="G38" s="8">
        <f t="shared" si="7"/>
        <v>4.081977183752584</v>
      </c>
      <c r="H38" s="2">
        <f>IF(Calculator!$E$11='GWP reference values'!$C$6,G38*'GWP reference values'!$D$6/1000,IF(Calculator!$E$11='GWP reference values'!$C$7,G38*'GWP reference values'!$D$7/1000,IF(Calculator!$E$11='GWP reference values'!$C$8,G38*'GWP reference values'!$D$8/1000,"Error")))</f>
        <v>0.11429536114507236</v>
      </c>
      <c r="I38" s="2">
        <f t="shared" si="8"/>
        <v>10.980462027811742</v>
      </c>
      <c r="J38" s="3">
        <f t="shared" si="9"/>
        <v>35</v>
      </c>
    </row>
    <row r="39" spans="3:10" x14ac:dyDescent="0.25">
      <c r="C39" s="3">
        <v>36</v>
      </c>
      <c r="D39" s="3">
        <f t="shared" si="5"/>
        <v>3.0976000000000004</v>
      </c>
      <c r="E39" s="3">
        <f t="shared" si="6"/>
        <v>11.357866666666668</v>
      </c>
      <c r="F39" s="2">
        <f>(0.334*0.5^((C39+5)/6.31))*'EF Adjustment Table'!I$14</f>
        <v>2.7429950406145849E-3</v>
      </c>
      <c r="G39" s="8">
        <f t="shared" si="7"/>
        <v>3.6573267208194462</v>
      </c>
      <c r="H39" s="2">
        <f>IF(Calculator!$E$11='GWP reference values'!$C$6,G39*'GWP reference values'!$D$6/1000,IF(Calculator!$E$11='GWP reference values'!$C$7,G39*'GWP reference values'!$D$7/1000,IF(Calculator!$E$11='GWP reference values'!$C$8,G39*'GWP reference values'!$D$8/1000,"Error")))</f>
        <v>0.10240514818294448</v>
      </c>
      <c r="I39" s="2">
        <f t="shared" si="8"/>
        <v>11.460271814849612</v>
      </c>
      <c r="J39" s="3">
        <f t="shared" si="9"/>
        <v>36</v>
      </c>
    </row>
    <row r="40" spans="3:10" x14ac:dyDescent="0.25">
      <c r="C40" s="3">
        <v>37</v>
      </c>
      <c r="D40" s="3">
        <f t="shared" si="5"/>
        <v>3.2316999999999996</v>
      </c>
      <c r="E40" s="3">
        <f t="shared" si="6"/>
        <v>11.849566666666666</v>
      </c>
      <c r="F40" s="2">
        <f>(0.334*0.5^((C40+5)/6.31))*'EF Adjustment Table'!I$14</f>
        <v>2.4576396695810175E-3</v>
      </c>
      <c r="G40" s="8">
        <f t="shared" si="7"/>
        <v>3.2768528927746901</v>
      </c>
      <c r="H40" s="2">
        <f>IF(Calculator!$E$11='GWP reference values'!$C$6,G40*'GWP reference values'!$D$6/1000,IF(Calculator!$E$11='GWP reference values'!$C$7,G40*'GWP reference values'!$D$7/1000,IF(Calculator!$E$11='GWP reference values'!$C$8,G40*'GWP reference values'!$D$8/1000,"Error")))</f>
        <v>9.1751880997691312E-2</v>
      </c>
      <c r="I40" s="2">
        <f t="shared" si="8"/>
        <v>11.941318547664357</v>
      </c>
      <c r="J40" s="3">
        <f t="shared" si="9"/>
        <v>37</v>
      </c>
    </row>
    <row r="41" spans="3:10" x14ac:dyDescent="0.25">
      <c r="C41" s="3">
        <v>38</v>
      </c>
      <c r="D41" s="3">
        <f t="shared" si="5"/>
        <v>3.3657999999999997</v>
      </c>
      <c r="E41" s="3">
        <f t="shared" si="6"/>
        <v>12.341266666666666</v>
      </c>
      <c r="F41" s="2">
        <f>(0.334*0.5^((C41+5)/6.31))*'EF Adjustment Table'!I$14</f>
        <v>2.2019699839285838E-3</v>
      </c>
      <c r="G41" s="8">
        <f t="shared" si="7"/>
        <v>2.9359599785714452</v>
      </c>
      <c r="H41" s="2">
        <f>IF(Calculator!$E$11='GWP reference values'!$C$6,G41*'GWP reference values'!$D$6/1000,IF(Calculator!$E$11='GWP reference values'!$C$7,G41*'GWP reference values'!$D$7/1000,IF(Calculator!$E$11='GWP reference values'!$C$8,G41*'GWP reference values'!$D$8/1000,"Error")))</f>
        <v>8.220687940000046E-2</v>
      </c>
      <c r="I41" s="2">
        <f t="shared" si="8"/>
        <v>12.423473546066667</v>
      </c>
      <c r="J41" s="3">
        <f t="shared" si="9"/>
        <v>38</v>
      </c>
    </row>
    <row r="42" spans="3:10" x14ac:dyDescent="0.25">
      <c r="C42" s="3">
        <v>39</v>
      </c>
      <c r="D42" s="3">
        <f t="shared" si="5"/>
        <v>3.4998999999999998</v>
      </c>
      <c r="E42" s="3">
        <f t="shared" si="6"/>
        <v>12.832966666666666</v>
      </c>
      <c r="F42" s="2">
        <f>(0.334*0.5^((C42+5)/6.31))*'EF Adjustment Table'!I$14</f>
        <v>1.9728977645242303E-3</v>
      </c>
      <c r="G42" s="8">
        <f t="shared" si="7"/>
        <v>2.6305303526989738</v>
      </c>
      <c r="H42" s="2">
        <f>IF(Calculator!$E$11='GWP reference values'!$C$6,G42*'GWP reference values'!$D$6/1000,IF(Calculator!$E$11='GWP reference values'!$C$7,G42*'GWP reference values'!$D$7/1000,IF(Calculator!$E$11='GWP reference values'!$C$8,G42*'GWP reference values'!$D$8/1000,"Error")))</f>
        <v>7.3654849875571277E-2</v>
      </c>
      <c r="I42" s="2">
        <f t="shared" si="8"/>
        <v>12.906621516542238</v>
      </c>
      <c r="J42" s="3">
        <f t="shared" si="9"/>
        <v>39</v>
      </c>
    </row>
    <row r="43" spans="3:10" x14ac:dyDescent="0.25">
      <c r="C43" s="3">
        <v>40</v>
      </c>
      <c r="D43" s="3">
        <f t="shared" ref="D43:D52" si="10">0.1341*C43-1.73</f>
        <v>3.6339999999999999</v>
      </c>
      <c r="E43" s="3">
        <f t="shared" ref="E43:E52" si="11">D43/12*44</f>
        <v>13.324666666666667</v>
      </c>
      <c r="F43" s="2">
        <f>(0.334*0.5^((C43+5)/6.31))*'EF Adjustment Table'!I$14</f>
        <v>1.7676560614692466E-3</v>
      </c>
      <c r="G43" s="8">
        <f t="shared" ref="G43:G52" si="12">F43*1000*16/12</f>
        <v>2.3568747486256623</v>
      </c>
      <c r="H43" s="2">
        <f>IF(Calculator!$E$11='GWP reference values'!$C$6,G43*'GWP reference values'!$D$6/1000,IF(Calculator!$E$11='GWP reference values'!$C$7,G43*'GWP reference values'!$D$7/1000,IF(Calculator!$E$11='GWP reference values'!$C$8,G43*'GWP reference values'!$D$8/1000,"Error")))</f>
        <v>6.5992492961518531E-2</v>
      </c>
      <c r="I43" s="2">
        <f t="shared" ref="I43:I52" si="13">SUM(H43,E43)</f>
        <v>13.390659159628186</v>
      </c>
      <c r="J43" s="3">
        <f t="shared" ref="J43:J52" si="14">C43</f>
        <v>40</v>
      </c>
    </row>
    <row r="44" spans="3:10" x14ac:dyDescent="0.25">
      <c r="C44" s="3">
        <v>41</v>
      </c>
      <c r="D44" s="3">
        <f t="shared" si="10"/>
        <v>3.7681</v>
      </c>
      <c r="E44" s="3">
        <f t="shared" si="11"/>
        <v>13.816366666666667</v>
      </c>
      <c r="F44" s="2">
        <f>(0.334*0.5^((C44+5)/6.31))*'EF Adjustment Table'!I$14</f>
        <v>1.5837657722738E-3</v>
      </c>
      <c r="G44" s="8">
        <f t="shared" si="12"/>
        <v>2.1116876963650668</v>
      </c>
      <c r="H44" s="2">
        <f>IF(Calculator!$E$11='GWP reference values'!$C$6,G44*'GWP reference values'!$D$6/1000,IF(Calculator!$E$11='GWP reference values'!$C$7,G44*'GWP reference values'!$D$7/1000,IF(Calculator!$E$11='GWP reference values'!$C$8,G44*'GWP reference values'!$D$8/1000,"Error")))</f>
        <v>5.912725549822187E-2</v>
      </c>
      <c r="I44" s="2">
        <f t="shared" si="13"/>
        <v>13.875493922164889</v>
      </c>
      <c r="J44" s="3">
        <f t="shared" si="14"/>
        <v>41</v>
      </c>
    </row>
    <row r="45" spans="3:10" x14ac:dyDescent="0.25">
      <c r="C45" s="3">
        <v>42</v>
      </c>
      <c r="D45" s="3">
        <f t="shared" si="10"/>
        <v>3.9022000000000001</v>
      </c>
      <c r="E45" s="3">
        <f t="shared" si="11"/>
        <v>14.308066666666667</v>
      </c>
      <c r="F45" s="2">
        <f>(0.334*0.5^((C45+5)/6.31))*'EF Adjustment Table'!I$14</f>
        <v>1.4190056969233911E-3</v>
      </c>
      <c r="G45" s="8">
        <f t="shared" si="12"/>
        <v>1.8920075958978548</v>
      </c>
      <c r="H45" s="2">
        <f>IF(Calculator!$E$11='GWP reference values'!$C$6,G45*'GWP reference values'!$D$6/1000,IF(Calculator!$E$11='GWP reference values'!$C$7,G45*'GWP reference values'!$D$7/1000,IF(Calculator!$E$11='GWP reference values'!$C$8,G45*'GWP reference values'!$D$8/1000,"Error")))</f>
        <v>5.2976212685139933E-2</v>
      </c>
      <c r="I45" s="2">
        <f t="shared" si="13"/>
        <v>14.361042879351807</v>
      </c>
      <c r="J45" s="3">
        <f t="shared" si="14"/>
        <v>42</v>
      </c>
    </row>
    <row r="46" spans="3:10" x14ac:dyDescent="0.25">
      <c r="C46" s="3">
        <v>43</v>
      </c>
      <c r="D46" s="3">
        <f t="shared" si="10"/>
        <v>4.0363000000000007</v>
      </c>
      <c r="E46" s="3">
        <f t="shared" si="11"/>
        <v>14.799766666666669</v>
      </c>
      <c r="F46" s="2">
        <f>(0.334*0.5^((C46+5)/6.31))*'EF Adjustment Table'!I$14</f>
        <v>1.2713857081342044E-3</v>
      </c>
      <c r="G46" s="8">
        <f t="shared" si="12"/>
        <v>1.6951809441789392</v>
      </c>
      <c r="H46" s="2">
        <f>IF(Calculator!$E$11='GWP reference values'!$C$6,G46*'GWP reference values'!$D$6/1000,IF(Calculator!$E$11='GWP reference values'!$C$7,G46*'GWP reference values'!$D$7/1000,IF(Calculator!$E$11='GWP reference values'!$C$8,G46*'GWP reference values'!$D$8/1000,"Error")))</f>
        <v>4.7465066437010296E-2</v>
      </c>
      <c r="I46" s="2">
        <f t="shared" si="13"/>
        <v>14.847231733103678</v>
      </c>
      <c r="J46" s="3">
        <f t="shared" si="14"/>
        <v>43</v>
      </c>
    </row>
    <row r="47" spans="3:10" x14ac:dyDescent="0.25">
      <c r="C47" s="3">
        <v>44</v>
      </c>
      <c r="D47" s="3">
        <f t="shared" si="10"/>
        <v>4.170399999999999</v>
      </c>
      <c r="E47" s="3">
        <f t="shared" si="11"/>
        <v>15.291466666666663</v>
      </c>
      <c r="F47" s="2">
        <f>(0.334*0.5^((C47+5)/6.31))*'EF Adjustment Table'!I$14</f>
        <v>1.1391227127223985E-3</v>
      </c>
      <c r="G47" s="8">
        <f t="shared" si="12"/>
        <v>1.5188302836298646</v>
      </c>
      <c r="H47" s="2">
        <f>IF(Calculator!$E$11='GWP reference values'!$C$6,G47*'GWP reference values'!$D$6/1000,IF(Calculator!$E$11='GWP reference values'!$C$7,G47*'GWP reference values'!$D$7/1000,IF(Calculator!$E$11='GWP reference values'!$C$8,G47*'GWP reference values'!$D$8/1000,"Error")))</f>
        <v>4.2527247941636211E-2</v>
      </c>
      <c r="I47" s="2">
        <f t="shared" si="13"/>
        <v>15.3339939146083</v>
      </c>
      <c r="J47" s="3">
        <f t="shared" si="14"/>
        <v>44</v>
      </c>
    </row>
    <row r="48" spans="3:10" x14ac:dyDescent="0.25">
      <c r="C48" s="3">
        <v>45</v>
      </c>
      <c r="D48" s="3">
        <f t="shared" si="10"/>
        <v>4.3044999999999991</v>
      </c>
      <c r="E48" s="3">
        <f t="shared" si="11"/>
        <v>15.783166666666663</v>
      </c>
      <c r="F48" s="2">
        <f>(0.334*0.5^((C48+5)/6.31))*'EF Adjustment Table'!I$14</f>
        <v>1.0206191137261593E-3</v>
      </c>
      <c r="G48" s="8">
        <f t="shared" si="12"/>
        <v>1.3608254849682124</v>
      </c>
      <c r="H48" s="2">
        <f>IF(Calculator!$E$11='GWP reference values'!$C$6,G48*'GWP reference values'!$D$6/1000,IF(Calculator!$E$11='GWP reference values'!$C$7,G48*'GWP reference values'!$D$7/1000,IF(Calculator!$E$11='GWP reference values'!$C$8,G48*'GWP reference values'!$D$8/1000,"Error")))</f>
        <v>3.8103113579109942E-2</v>
      </c>
      <c r="I48" s="2">
        <f t="shared" si="13"/>
        <v>15.821269780245773</v>
      </c>
      <c r="J48" s="3">
        <f t="shared" si="14"/>
        <v>45</v>
      </c>
    </row>
    <row r="49" spans="2:10" x14ac:dyDescent="0.25">
      <c r="C49" s="3">
        <v>46</v>
      </c>
      <c r="D49" s="3">
        <f t="shared" si="10"/>
        <v>4.4385999999999992</v>
      </c>
      <c r="E49" s="3">
        <f t="shared" si="11"/>
        <v>16.274866666666664</v>
      </c>
      <c r="F49" s="2">
        <f>(0.334*0.5^((C49+5)/6.31))*'EF Adjustment Table'!I$14</f>
        <v>9.1444351312571978E-4</v>
      </c>
      <c r="G49" s="8">
        <f t="shared" si="12"/>
        <v>1.2192580175009597</v>
      </c>
      <c r="H49" s="2">
        <f>IF(Calculator!$E$11='GWP reference values'!$C$6,G49*'GWP reference values'!$D$6/1000,IF(Calculator!$E$11='GWP reference values'!$C$7,G49*'GWP reference values'!$D$7/1000,IF(Calculator!$E$11='GWP reference values'!$C$8,G49*'GWP reference values'!$D$8/1000,"Error")))</f>
        <v>3.4139224490026876E-2</v>
      </c>
      <c r="I49" s="2">
        <f t="shared" si="13"/>
        <v>16.309005891156691</v>
      </c>
      <c r="J49" s="3">
        <f t="shared" si="14"/>
        <v>46</v>
      </c>
    </row>
    <row r="50" spans="2:10" x14ac:dyDescent="0.25">
      <c r="C50" s="3">
        <v>47</v>
      </c>
      <c r="D50" s="3">
        <f t="shared" si="10"/>
        <v>4.5726999999999993</v>
      </c>
      <c r="E50" s="3">
        <f t="shared" si="11"/>
        <v>16.766566666666662</v>
      </c>
      <c r="F50" s="2">
        <f>(0.334*0.5^((C50+5)/6.31))*'EF Adjustment Table'!I$14</f>
        <v>8.193134220706651E-4</v>
      </c>
      <c r="G50" s="8">
        <f t="shared" si="12"/>
        <v>1.0924178960942201</v>
      </c>
      <c r="H50" s="2">
        <f>IF(Calculator!$E$11='GWP reference values'!$C$6,G50*'GWP reference values'!$D$6/1000,IF(Calculator!$E$11='GWP reference values'!$C$7,G50*'GWP reference values'!$D$7/1000,IF(Calculator!$E$11='GWP reference values'!$C$8,G50*'GWP reference values'!$D$8/1000,"Error")))</f>
        <v>3.0587701090638162E-2</v>
      </c>
      <c r="I50" s="2">
        <f t="shared" si="13"/>
        <v>16.797154367757301</v>
      </c>
      <c r="J50" s="3">
        <f t="shared" si="14"/>
        <v>47</v>
      </c>
    </row>
    <row r="51" spans="2:10" x14ac:dyDescent="0.25">
      <c r="C51" s="3">
        <v>48</v>
      </c>
      <c r="D51" s="3">
        <f t="shared" si="10"/>
        <v>4.7067999999999994</v>
      </c>
      <c r="E51" s="3">
        <f t="shared" si="11"/>
        <v>17.258266666666664</v>
      </c>
      <c r="F51" s="2">
        <f>(0.334*0.5^((C51+5)/6.31))*'EF Adjustment Table'!I$14</f>
        <v>7.340797697723457E-4</v>
      </c>
      <c r="G51" s="8">
        <f t="shared" si="12"/>
        <v>0.97877302636312757</v>
      </c>
      <c r="H51" s="2">
        <f>IF(Calculator!$E$11='GWP reference values'!$C$6,G51*'GWP reference values'!$D$6/1000,IF(Calculator!$E$11='GWP reference values'!$C$7,G51*'GWP reference values'!$D$7/1000,IF(Calculator!$E$11='GWP reference values'!$C$8,G51*'GWP reference values'!$D$8/1000,"Error")))</f>
        <v>2.7405644738167576E-2</v>
      </c>
      <c r="I51" s="2">
        <f t="shared" si="13"/>
        <v>17.285672311404831</v>
      </c>
      <c r="J51" s="3">
        <f t="shared" si="14"/>
        <v>48</v>
      </c>
    </row>
    <row r="52" spans="2:10" x14ac:dyDescent="0.25">
      <c r="C52" s="3">
        <v>49</v>
      </c>
      <c r="D52" s="3">
        <f t="shared" si="10"/>
        <v>4.8408999999999995</v>
      </c>
      <c r="E52" s="3">
        <f t="shared" si="11"/>
        <v>17.749966666666666</v>
      </c>
      <c r="F52" s="2">
        <f>(0.334*0.5^((C52+5)/6.31))*'EF Adjustment Table'!I$14</f>
        <v>6.5771302394524085E-4</v>
      </c>
      <c r="G52" s="8">
        <f t="shared" si="12"/>
        <v>0.87695069859365449</v>
      </c>
      <c r="H52" s="2">
        <f>IF(Calculator!$E$11='GWP reference values'!$C$6,G52*'GWP reference values'!$D$6/1000,IF(Calculator!$E$11='GWP reference values'!$C$7,G52*'GWP reference values'!$D$7/1000,IF(Calculator!$E$11='GWP reference values'!$C$8,G52*'GWP reference values'!$D$8/1000,"Error")))</f>
        <v>2.4554619560622323E-2</v>
      </c>
      <c r="I52" s="2">
        <f t="shared" si="13"/>
        <v>17.774521286227287</v>
      </c>
      <c r="J52" s="3">
        <f t="shared" si="14"/>
        <v>49</v>
      </c>
    </row>
    <row r="53" spans="2:10" x14ac:dyDescent="0.25">
      <c r="B53" s="4"/>
      <c r="C53" s="14">
        <v>50</v>
      </c>
      <c r="D53" s="14">
        <f t="shared" si="0"/>
        <v>4.9749999999999996</v>
      </c>
      <c r="E53" s="14">
        <f t="shared" si="1"/>
        <v>18.241666666666667</v>
      </c>
      <c r="F53" s="15">
        <f>(0.334*0.5^((C53+5)/6.31))*'EF Adjustment Table'!I$14</f>
        <v>5.8929075514687875E-4</v>
      </c>
      <c r="G53" s="16">
        <f t="shared" si="2"/>
        <v>0.78572100686250501</v>
      </c>
      <c r="H53" s="15">
        <f>IF(Calculator!$E$11='GWP reference values'!$C$6,G53*'GWP reference values'!$D$6/1000,IF(Calculator!$E$11='GWP reference values'!$C$7,G53*'GWP reference values'!$D$7/1000,IF(Calculator!$E$11='GWP reference values'!$C$8,G53*'GWP reference values'!$D$8/1000,"Error")))</f>
        <v>2.200018819215014E-2</v>
      </c>
      <c r="I53" s="15">
        <f t="shared" si="3"/>
        <v>18.263666854858819</v>
      </c>
      <c r="J53" s="14">
        <f t="shared" si="4"/>
        <v>50</v>
      </c>
    </row>
    <row r="55" spans="2:10" x14ac:dyDescent="0.25">
      <c r="B55" t="s">
        <v>261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206"/>
  <sheetViews>
    <sheetView topLeftCell="A237" zoomScale="85" zoomScaleNormal="85" workbookViewId="0">
      <selection activeCell="V54" sqref="V54"/>
    </sheetView>
  </sheetViews>
  <sheetFormatPr defaultRowHeight="15" x14ac:dyDescent="0.25"/>
  <sheetData>
    <row r="2" spans="2:18" ht="15.75" thickBot="1" x14ac:dyDescent="0.3"/>
    <row r="3" spans="2:18" ht="27" thickBot="1" x14ac:dyDescent="0.45">
      <c r="B3" s="371" t="s">
        <v>0</v>
      </c>
      <c r="C3" s="372"/>
      <c r="D3" s="372"/>
      <c r="E3" s="372"/>
      <c r="F3" s="372"/>
      <c r="G3" s="372"/>
      <c r="H3" s="372"/>
      <c r="I3" s="372"/>
      <c r="J3" s="372"/>
      <c r="K3" s="372"/>
      <c r="L3" s="372"/>
      <c r="M3" s="372"/>
      <c r="N3" s="372"/>
      <c r="O3" s="372"/>
      <c r="P3" s="372"/>
      <c r="Q3" s="372"/>
      <c r="R3" s="373"/>
    </row>
    <row r="206" spans="12:12" x14ac:dyDescent="0.25">
      <c r="L206" s="149"/>
    </row>
  </sheetData>
  <sheetProtection algorithmName="SHA-512" hashValue="6Re+ZJcV+6jsLHNPJzE16hIczvArqjiKf9Q6/CPiuSI5flMTMg7Sq99BjVzEXOVmQL6zlCg0NJhOQ66pvD7A1w==" saltValue="YVpm8SjYUgLDCX+cyEvEYA==" spinCount="100000" sheet="1" objects="1" scenarios="1"/>
  <mergeCells count="1">
    <mergeCell ref="B3:R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J115"/>
  <sheetViews>
    <sheetView workbookViewId="0">
      <selection activeCell="D8" sqref="D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184</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Table'!$D$15</f>
        <v>43.997017151379573</v>
      </c>
      <c r="D7" s="10">
        <f>0.1341*C7-1.73</f>
        <v>4.17</v>
      </c>
      <c r="E7" s="10">
        <f>D7/12*44</f>
        <v>15.29</v>
      </c>
      <c r="F7" s="11">
        <f>(0.334*0.5^((C7+5)/6.31))*'EF Adjustment Table'!I$15</f>
        <v>1.8750000000000001E-3</v>
      </c>
      <c r="G7" s="12">
        <f>F7*1000*16/12</f>
        <v>2.5000000000000004</v>
      </c>
      <c r="H7" s="74">
        <f>IF(Calculator!$E$11='GWP reference values'!$C$6,G7*'GWP reference values'!$D$6/1000,IF(Calculator!$E$11='GWP reference values'!$C$7,G7*'GWP reference values'!$D$7/1000,IF(Calculator!$E$11='GWP reference values'!$C$8,G7*'GWP reference values'!$D$8/1000,"Error")))</f>
        <v>7.0000000000000021E-2</v>
      </c>
      <c r="I7" s="2">
        <f>SUM(H7,E7)</f>
        <v>15.36</v>
      </c>
      <c r="J7" s="3">
        <f>C7</f>
        <v>43.997017151379573</v>
      </c>
    </row>
    <row r="8" spans="2:10" x14ac:dyDescent="0.25">
      <c r="B8" s="1" t="s">
        <v>249</v>
      </c>
      <c r="C8" s="3">
        <v>-5</v>
      </c>
      <c r="D8" s="3">
        <f t="shared" ref="D8:D113" si="0">0.1341*C8-1.73</f>
        <v>-2.4005000000000001</v>
      </c>
      <c r="E8" s="3">
        <f t="shared" ref="E8:E113" si="1">D8/12*44</f>
        <v>-8.8018333333333345</v>
      </c>
      <c r="F8" s="2">
        <f>(0.334*0.5^((C8+5)/6.31))*'EF Adjustment Table'!I$15</f>
        <v>0.40784284777502605</v>
      </c>
      <c r="G8" s="8">
        <f t="shared" ref="G8:G113" si="2">F8*1000*16/12</f>
        <v>543.79046370003471</v>
      </c>
      <c r="H8" s="2">
        <f>IF(Calculator!$E$11='GWP reference values'!$C$6,G8*'GWP reference values'!$D$6/1000,IF(Calculator!$E$11='GWP reference values'!$C$7,G8*'GWP reference values'!$D$7/1000,IF(Calculator!$E$11='GWP reference values'!$C$8,G8*'GWP reference values'!$D$8/1000,"Error")))</f>
        <v>15.226132983600971</v>
      </c>
      <c r="I8" s="66">
        <f>SUM(H8,E8)</f>
        <v>6.4242996502676366</v>
      </c>
      <c r="J8" s="67">
        <f>C8</f>
        <v>-5</v>
      </c>
    </row>
    <row r="9" spans="2:10" x14ac:dyDescent="0.25">
      <c r="C9" s="3">
        <v>-4</v>
      </c>
      <c r="D9" s="3">
        <f t="shared" ref="D9:D11" si="3">0.1341*C9-1.73</f>
        <v>-2.2664</v>
      </c>
      <c r="E9" s="3">
        <f t="shared" ref="E9:E11" si="4">D9/12*44</f>
        <v>-8.3101333333333329</v>
      </c>
      <c r="F9" s="2">
        <f>(0.334*0.5^((C9+5)/6.31))*'EF Adjustment Table'!I$15</f>
        <v>0.36541471887685856</v>
      </c>
      <c r="G9" s="8">
        <f t="shared" ref="G9:G11" si="5">F9*1000*16/12</f>
        <v>487.21962516914476</v>
      </c>
      <c r="H9" s="2">
        <f>IF(Calculator!$E$11='GWP reference values'!$C$6,G9*'GWP reference values'!$D$6/1000,IF(Calculator!$E$11='GWP reference values'!$C$7,G9*'GWP reference values'!$D$7/1000,IF(Calculator!$E$11='GWP reference values'!$C$8,G9*'GWP reference values'!$D$8/1000,"Error")))</f>
        <v>13.642149504736054</v>
      </c>
      <c r="I9" s="2">
        <f t="shared" ref="I9:I11" si="6">SUM(H9,E9)</f>
        <v>5.3320161714027208</v>
      </c>
      <c r="J9" s="3">
        <f t="shared" ref="J9:J11" si="7">C9</f>
        <v>-4</v>
      </c>
    </row>
    <row r="10" spans="2:10" x14ac:dyDescent="0.25">
      <c r="C10" s="3">
        <v>-3</v>
      </c>
      <c r="D10" s="3">
        <f t="shared" si="3"/>
        <v>-2.1322999999999999</v>
      </c>
      <c r="E10" s="3">
        <f t="shared" si="4"/>
        <v>-7.8184333333333331</v>
      </c>
      <c r="F10" s="2">
        <f>(0.334*0.5^((C10+5)/6.31))*'EF Adjustment Table'!I$15</f>
        <v>0.32740041292941879</v>
      </c>
      <c r="G10" s="8">
        <f t="shared" si="5"/>
        <v>436.53388390589174</v>
      </c>
      <c r="H10" s="2">
        <f>IF(Calculator!$E$11='GWP reference values'!$C$6,G10*'GWP reference values'!$D$6/1000,IF(Calculator!$E$11='GWP reference values'!$C$7,G10*'GWP reference values'!$D$7/1000,IF(Calculator!$E$11='GWP reference values'!$C$8,G10*'GWP reference values'!$D$8/1000,"Error")))</f>
        <v>12.222948749364969</v>
      </c>
      <c r="I10" s="2">
        <f t="shared" si="6"/>
        <v>4.4045154160316358</v>
      </c>
      <c r="J10" s="3">
        <f t="shared" si="7"/>
        <v>-3</v>
      </c>
    </row>
    <row r="11" spans="2:10" x14ac:dyDescent="0.25">
      <c r="C11" s="3">
        <v>-2</v>
      </c>
      <c r="D11" s="3">
        <f t="shared" si="3"/>
        <v>-1.9982</v>
      </c>
      <c r="E11" s="3">
        <f t="shared" si="4"/>
        <v>-7.3267333333333333</v>
      </c>
      <c r="F11" s="2">
        <f>(0.334*0.5^((C11+5)/6.31))*'EF Adjustment Table'!I$15</f>
        <v>0.29334075736143594</v>
      </c>
      <c r="G11" s="8">
        <f t="shared" si="5"/>
        <v>391.12100981524787</v>
      </c>
      <c r="H11" s="2">
        <f>IF(Calculator!$E$11='GWP reference values'!$C$6,G11*'GWP reference values'!$D$6/1000,IF(Calculator!$E$11='GWP reference values'!$C$7,G11*'GWP reference values'!$D$7/1000,IF(Calculator!$E$11='GWP reference values'!$C$8,G11*'GWP reference values'!$D$8/1000,"Error")))</f>
        <v>10.951388274826941</v>
      </c>
      <c r="I11" s="2">
        <f t="shared" si="6"/>
        <v>3.624654941493608</v>
      </c>
      <c r="J11" s="3">
        <f t="shared" si="7"/>
        <v>-2</v>
      </c>
    </row>
    <row r="12" spans="2:10" x14ac:dyDescent="0.25">
      <c r="C12" s="3">
        <v>-1</v>
      </c>
      <c r="D12" s="3">
        <f t="shared" ref="D12:D31" si="8">0.1341*C12-1.73</f>
        <v>-1.8641000000000001</v>
      </c>
      <c r="E12" s="3">
        <f t="shared" ref="E12:E31" si="9">D12/12*44</f>
        <v>-6.8350333333333344</v>
      </c>
      <c r="F12" s="2">
        <f>(0.334*0.5^((C12+5)/6.31))*'EF Adjustment Table'!I$15</f>
        <v>0.26282434759155693</v>
      </c>
      <c r="G12" s="8">
        <f t="shared" ref="G12:G31" si="10">F12*1000*16/12</f>
        <v>350.43246345540928</v>
      </c>
      <c r="H12" s="2">
        <f>IF(Calculator!$E$11='GWP reference values'!$C$6,G12*'GWP reference values'!$D$6/1000,IF(Calculator!$E$11='GWP reference values'!$C$7,G12*'GWP reference values'!$D$7/1000,IF(Calculator!$E$11='GWP reference values'!$C$8,G12*'GWP reference values'!$D$8/1000,"Error")))</f>
        <v>9.8121089767514604</v>
      </c>
      <c r="I12" s="2">
        <f t="shared" ref="I12:I74" si="11">SUM(H12,E12)</f>
        <v>2.977075643418126</v>
      </c>
      <c r="J12" s="3">
        <f t="shared" ref="J12:J74" si="12">C12</f>
        <v>-1</v>
      </c>
    </row>
    <row r="13" spans="2:10" x14ac:dyDescent="0.25">
      <c r="C13" s="3">
        <v>0</v>
      </c>
      <c r="D13" s="3">
        <f t="shared" si="8"/>
        <v>-1.73</v>
      </c>
      <c r="E13" s="3">
        <f t="shared" si="9"/>
        <v>-6.3433333333333337</v>
      </c>
      <c r="F13" s="2">
        <f>(0.334*0.5^((C13+5)/6.31))*'EF Adjustment Table'!I$15</f>
        <v>0.23548257769654451</v>
      </c>
      <c r="G13" s="8">
        <f t="shared" si="10"/>
        <v>313.97677026205935</v>
      </c>
      <c r="H13" s="2">
        <f>IF(Calculator!$E$11='GWP reference values'!$C$6,G13*'GWP reference values'!$D$6/1000,IF(Calculator!$E$11='GWP reference values'!$C$7,G13*'GWP reference values'!$D$7/1000,IF(Calculator!$E$11='GWP reference values'!$C$8,G13*'GWP reference values'!$D$8/1000,"Error")))</f>
        <v>8.7913495673376616</v>
      </c>
      <c r="I13" s="2">
        <f t="shared" si="11"/>
        <v>2.4480162340043279</v>
      </c>
      <c r="J13" s="3">
        <f t="shared" si="12"/>
        <v>0</v>
      </c>
    </row>
    <row r="14" spans="2:10" x14ac:dyDescent="0.25">
      <c r="C14" s="3">
        <v>1</v>
      </c>
      <c r="D14" s="3">
        <f t="shared" si="8"/>
        <v>-1.5958999999999999</v>
      </c>
      <c r="E14" s="3">
        <f t="shared" si="9"/>
        <v>-5.8516333333333321</v>
      </c>
      <c r="F14" s="2">
        <f>(0.334*0.5^((C14+5)/6.31))*'EF Adjustment Table'!I$15</f>
        <v>0.21098518804195626</v>
      </c>
      <c r="G14" s="8">
        <f t="shared" si="10"/>
        <v>281.3135840559417</v>
      </c>
      <c r="H14" s="2">
        <f>IF(Calculator!$E$11='GWP reference values'!$C$6,G14*'GWP reference values'!$D$6/1000,IF(Calculator!$E$11='GWP reference values'!$C$7,G14*'GWP reference values'!$D$7/1000,IF(Calculator!$E$11='GWP reference values'!$C$8,G14*'GWP reference values'!$D$8/1000,"Error")))</f>
        <v>7.8767803535663683</v>
      </c>
      <c r="I14" s="2">
        <f t="shared" si="11"/>
        <v>2.0251470202330362</v>
      </c>
      <c r="J14" s="3">
        <f t="shared" si="12"/>
        <v>1</v>
      </c>
    </row>
    <row r="15" spans="2:10" x14ac:dyDescent="0.25">
      <c r="C15" s="3">
        <v>2</v>
      </c>
      <c r="D15" s="3">
        <f t="shared" si="8"/>
        <v>-1.4618</v>
      </c>
      <c r="E15" s="3">
        <f t="shared" si="9"/>
        <v>-5.3599333333333332</v>
      </c>
      <c r="F15" s="2">
        <f>(0.334*0.5^((C15+5)/6.31))*'EF Adjustment Table'!I$15</f>
        <v>0.18903627609539653</v>
      </c>
      <c r="G15" s="8">
        <f t="shared" si="10"/>
        <v>252.04836812719535</v>
      </c>
      <c r="H15" s="2">
        <f>IF(Calculator!$E$11='GWP reference values'!$C$6,G15*'GWP reference values'!$D$6/1000,IF(Calculator!$E$11='GWP reference values'!$C$7,G15*'GWP reference values'!$D$7/1000,IF(Calculator!$E$11='GWP reference values'!$C$8,G15*'GWP reference values'!$D$8/1000,"Error")))</f>
        <v>7.0573543075614698</v>
      </c>
      <c r="I15" s="2">
        <f t="shared" si="11"/>
        <v>1.6974209742281365</v>
      </c>
      <c r="J15" s="3">
        <f t="shared" si="12"/>
        <v>2</v>
      </c>
    </row>
    <row r="16" spans="2:10" x14ac:dyDescent="0.25">
      <c r="C16" s="3">
        <v>3</v>
      </c>
      <c r="D16" s="3">
        <f t="shared" si="8"/>
        <v>-1.3277000000000001</v>
      </c>
      <c r="E16" s="3">
        <f t="shared" si="9"/>
        <v>-4.8682333333333343</v>
      </c>
      <c r="F16" s="2">
        <f>(0.334*0.5^((C16+5)/6.31))*'EF Adjustment Table'!I$15</f>
        <v>0.16937072223718763</v>
      </c>
      <c r="G16" s="8">
        <f t="shared" si="10"/>
        <v>225.82762964958351</v>
      </c>
      <c r="H16" s="2">
        <f>IF(Calculator!$E$11='GWP reference values'!$C$6,G16*'GWP reference values'!$D$6/1000,IF(Calculator!$E$11='GWP reference values'!$C$7,G16*'GWP reference values'!$D$7/1000,IF(Calculator!$E$11='GWP reference values'!$C$8,G16*'GWP reference values'!$D$8/1000,"Error")))</f>
        <v>6.3231736301883386</v>
      </c>
      <c r="I16" s="2">
        <f t="shared" si="11"/>
        <v>1.4549402968550043</v>
      </c>
      <c r="J16" s="3">
        <f t="shared" si="12"/>
        <v>3</v>
      </c>
    </row>
    <row r="17" spans="3:10" x14ac:dyDescent="0.25">
      <c r="C17" s="3">
        <v>4</v>
      </c>
      <c r="D17" s="3">
        <f t="shared" si="8"/>
        <v>-1.1936</v>
      </c>
      <c r="E17" s="3">
        <f t="shared" si="9"/>
        <v>-4.3765333333333327</v>
      </c>
      <c r="F17" s="2">
        <f>(0.334*0.5^((C17+5)/6.31))*'EF Adjustment Table'!I$15</f>
        <v>0.15175098739603848</v>
      </c>
      <c r="G17" s="8">
        <f t="shared" si="10"/>
        <v>202.33464986138463</v>
      </c>
      <c r="H17" s="2">
        <f>IF(Calculator!$E$11='GWP reference values'!$C$6,G17*'GWP reference values'!$D$6/1000,IF(Calculator!$E$11='GWP reference values'!$C$7,G17*'GWP reference values'!$D$7/1000,IF(Calculator!$E$11='GWP reference values'!$C$8,G17*'GWP reference values'!$D$8/1000,"Error")))</f>
        <v>5.6653701961187695</v>
      </c>
      <c r="I17" s="2">
        <f t="shared" si="11"/>
        <v>1.2888368627854367</v>
      </c>
      <c r="J17" s="3">
        <f t="shared" si="12"/>
        <v>4</v>
      </c>
    </row>
    <row r="18" spans="3:10" x14ac:dyDescent="0.25">
      <c r="C18" s="3">
        <v>5</v>
      </c>
      <c r="D18" s="3">
        <f t="shared" si="8"/>
        <v>-1.0594999999999999</v>
      </c>
      <c r="E18" s="3">
        <f t="shared" si="9"/>
        <v>-3.8848333333333329</v>
      </c>
      <c r="F18" s="2">
        <f>(0.334*0.5^((C18+5)/6.31))*'EF Adjustment Table'!I$15</f>
        <v>0.13596424382853844</v>
      </c>
      <c r="G18" s="8">
        <f t="shared" si="10"/>
        <v>181.28565843805129</v>
      </c>
      <c r="H18" s="2">
        <f>IF(Calculator!$E$11='GWP reference values'!$C$6,G18*'GWP reference values'!$D$6/1000,IF(Calculator!$E$11='GWP reference values'!$C$7,G18*'GWP reference values'!$D$7/1000,IF(Calculator!$E$11='GWP reference values'!$C$8,G18*'GWP reference values'!$D$8/1000,"Error")))</f>
        <v>5.0759984362654356</v>
      </c>
      <c r="I18" s="2">
        <f t="shared" si="11"/>
        <v>1.1911651029321026</v>
      </c>
      <c r="J18" s="3">
        <f t="shared" si="12"/>
        <v>5</v>
      </c>
    </row>
    <row r="19" spans="3:10" x14ac:dyDescent="0.25">
      <c r="C19" s="3">
        <v>6</v>
      </c>
      <c r="D19" s="3">
        <f t="shared" si="8"/>
        <v>-0.9254</v>
      </c>
      <c r="E19" s="3">
        <f t="shared" si="9"/>
        <v>-3.3931333333333331</v>
      </c>
      <c r="F19" s="2">
        <f>(0.334*0.5^((C19+5)/6.31))*'EF Adjustment Table'!I$15</f>
        <v>0.12181980438533103</v>
      </c>
      <c r="G19" s="8">
        <f t="shared" si="10"/>
        <v>162.42640584710804</v>
      </c>
      <c r="H19" s="2">
        <f>IF(Calculator!$E$11='GWP reference values'!$C$6,G19*'GWP reference values'!$D$6/1000,IF(Calculator!$E$11='GWP reference values'!$C$7,G19*'GWP reference values'!$D$7/1000,IF(Calculator!$E$11='GWP reference values'!$C$8,G19*'GWP reference values'!$D$8/1000,"Error")))</f>
        <v>4.5479393637190251</v>
      </c>
      <c r="I19" s="2">
        <f t="shared" si="11"/>
        <v>1.154806030385692</v>
      </c>
      <c r="J19" s="3">
        <f t="shared" si="12"/>
        <v>6</v>
      </c>
    </row>
    <row r="20" spans="3:10" x14ac:dyDescent="0.25">
      <c r="C20" s="3">
        <v>7</v>
      </c>
      <c r="D20" s="3">
        <f t="shared" si="8"/>
        <v>-0.7913</v>
      </c>
      <c r="E20" s="3">
        <f t="shared" si="9"/>
        <v>-2.9014333333333333</v>
      </c>
      <c r="F20" s="2">
        <f>(0.334*0.5^((C20+5)/6.31))*'EF Adjustment Table'!I$15</f>
        <v>0.10914681921222469</v>
      </c>
      <c r="G20" s="8">
        <f t="shared" si="10"/>
        <v>145.52909228296625</v>
      </c>
      <c r="H20" s="2">
        <f>IF(Calculator!$E$11='GWP reference values'!$C$6,G20*'GWP reference values'!$D$6/1000,IF(Calculator!$E$11='GWP reference values'!$C$7,G20*'GWP reference values'!$D$7/1000,IF(Calculator!$E$11='GWP reference values'!$C$8,G20*'GWP reference values'!$D$8/1000,"Error")))</f>
        <v>4.0748145839230547</v>
      </c>
      <c r="I20" s="2">
        <f t="shared" si="11"/>
        <v>1.1733812505897214</v>
      </c>
      <c r="J20" s="3">
        <f t="shared" si="12"/>
        <v>7</v>
      </c>
    </row>
    <row r="21" spans="3:10" x14ac:dyDescent="0.25">
      <c r="C21" s="3">
        <v>8</v>
      </c>
      <c r="D21" s="3">
        <f t="shared" si="8"/>
        <v>-0.65720000000000001</v>
      </c>
      <c r="E21" s="3">
        <f t="shared" si="9"/>
        <v>-2.4097333333333331</v>
      </c>
      <c r="F21" s="2">
        <f>(0.334*0.5^((C21+5)/6.31))*'EF Adjustment Table'!I$15</f>
        <v>9.7792212064827244E-2</v>
      </c>
      <c r="G21" s="8">
        <f t="shared" si="10"/>
        <v>130.38961608643632</v>
      </c>
      <c r="H21" s="2">
        <f>IF(Calculator!$E$11='GWP reference values'!$C$6,G21*'GWP reference values'!$D$6/1000,IF(Calculator!$E$11='GWP reference values'!$C$7,G21*'GWP reference values'!$D$7/1000,IF(Calculator!$E$11='GWP reference values'!$C$8,G21*'GWP reference values'!$D$8/1000,"Error")))</f>
        <v>3.650909250420217</v>
      </c>
      <c r="I21" s="2">
        <f t="shared" si="11"/>
        <v>1.2411759170868839</v>
      </c>
      <c r="J21" s="3">
        <f t="shared" si="12"/>
        <v>8</v>
      </c>
    </row>
    <row r="22" spans="3:10" x14ac:dyDescent="0.25">
      <c r="C22" s="3">
        <v>9</v>
      </c>
      <c r="D22" s="3">
        <f t="shared" si="8"/>
        <v>-0.5230999999999999</v>
      </c>
      <c r="E22" s="3">
        <f t="shared" si="9"/>
        <v>-1.918033333333333</v>
      </c>
      <c r="F22" s="2">
        <f>(0.334*0.5^((C22+5)/6.31))*'EF Adjustment Table'!I$15</f>
        <v>8.7618831309570835E-2</v>
      </c>
      <c r="G22" s="8">
        <f t="shared" si="10"/>
        <v>116.82510841276111</v>
      </c>
      <c r="H22" s="2">
        <f>IF(Calculator!$E$11='GWP reference values'!$C$6,G22*'GWP reference values'!$D$6/1000,IF(Calculator!$E$11='GWP reference values'!$C$7,G22*'GWP reference values'!$D$7/1000,IF(Calculator!$E$11='GWP reference values'!$C$8,G22*'GWP reference values'!$D$8/1000,"Error")))</f>
        <v>3.271103035557311</v>
      </c>
      <c r="I22" s="2">
        <f t="shared" si="11"/>
        <v>1.3530697022239779</v>
      </c>
      <c r="J22" s="3">
        <f t="shared" si="12"/>
        <v>9</v>
      </c>
    </row>
    <row r="23" spans="3:10" x14ac:dyDescent="0.25">
      <c r="C23" s="3">
        <v>10</v>
      </c>
      <c r="D23" s="3">
        <f t="shared" si="8"/>
        <v>-0.38900000000000001</v>
      </c>
      <c r="E23" s="3">
        <f t="shared" si="9"/>
        <v>-1.4263333333333335</v>
      </c>
      <c r="F23" s="2">
        <f>(0.334*0.5^((C23+5)/6.31))*'EF Adjustment Table'!I$15</f>
        <v>7.850379327717677E-2</v>
      </c>
      <c r="G23" s="8">
        <f t="shared" si="10"/>
        <v>104.67172436956902</v>
      </c>
      <c r="H23" s="2">
        <f>IF(Calculator!$E$11='GWP reference values'!$C$6,G23*'GWP reference values'!$D$6/1000,IF(Calculator!$E$11='GWP reference values'!$C$7,G23*'GWP reference values'!$D$7/1000,IF(Calculator!$E$11='GWP reference values'!$C$8,G23*'GWP reference values'!$D$8/1000,"Error")))</f>
        <v>2.9308082823479324</v>
      </c>
      <c r="I23" s="2">
        <f t="shared" si="11"/>
        <v>1.504474949014599</v>
      </c>
      <c r="J23" s="3">
        <f t="shared" si="12"/>
        <v>10</v>
      </c>
    </row>
    <row r="24" spans="3:10" x14ac:dyDescent="0.25">
      <c r="C24" s="3">
        <v>11</v>
      </c>
      <c r="D24" s="3">
        <f t="shared" si="8"/>
        <v>-0.25490000000000013</v>
      </c>
      <c r="E24" s="3">
        <f t="shared" si="9"/>
        <v>-0.93463333333333376</v>
      </c>
      <c r="F24" s="2">
        <f>(0.334*0.5^((C24+5)/6.31))*'EF Adjustment Table'!I$15</f>
        <v>7.0336997958023659E-2</v>
      </c>
      <c r="G24" s="8">
        <f t="shared" si="10"/>
        <v>93.78266394403154</v>
      </c>
      <c r="H24" s="2">
        <f>IF(Calculator!$E$11='GWP reference values'!$C$6,G24*'GWP reference values'!$D$6/1000,IF(Calculator!$E$11='GWP reference values'!$C$7,G24*'GWP reference values'!$D$7/1000,IF(Calculator!$E$11='GWP reference values'!$C$8,G24*'GWP reference values'!$D$8/1000,"Error")))</f>
        <v>2.6259145904328829</v>
      </c>
      <c r="I24" s="2">
        <f t="shared" si="11"/>
        <v>1.6912812570995492</v>
      </c>
      <c r="J24" s="3">
        <f t="shared" si="12"/>
        <v>11</v>
      </c>
    </row>
    <row r="25" spans="3:10" x14ac:dyDescent="0.25">
      <c r="C25" s="3">
        <v>12</v>
      </c>
      <c r="D25" s="3">
        <f t="shared" si="8"/>
        <v>-0.12080000000000002</v>
      </c>
      <c r="E25" s="3">
        <f t="shared" si="9"/>
        <v>-0.4429333333333334</v>
      </c>
      <c r="F25" s="2">
        <f>(0.334*0.5^((C25+5)/6.31))*'EF Adjustment Table'!I$15</f>
        <v>6.3019799110590774E-2</v>
      </c>
      <c r="G25" s="8">
        <f t="shared" si="10"/>
        <v>84.026398814121038</v>
      </c>
      <c r="H25" s="2">
        <f>IF(Calculator!$E$11='GWP reference values'!$C$6,G25*'GWP reference values'!$D$6/1000,IF(Calculator!$E$11='GWP reference values'!$C$7,G25*'GWP reference values'!$D$7/1000,IF(Calculator!$E$11='GWP reference values'!$C$8,G25*'GWP reference values'!$D$8/1000,"Error")))</f>
        <v>2.3527391667953887</v>
      </c>
      <c r="I25" s="2">
        <f t="shared" si="11"/>
        <v>1.9098058334620553</v>
      </c>
      <c r="J25" s="3">
        <f t="shared" si="12"/>
        <v>12</v>
      </c>
    </row>
    <row r="26" spans="3:10" x14ac:dyDescent="0.25">
      <c r="C26" s="3">
        <v>13</v>
      </c>
      <c r="D26" s="3">
        <f t="shared" si="8"/>
        <v>1.330000000000009E-2</v>
      </c>
      <c r="E26" s="3">
        <f t="shared" si="9"/>
        <v>4.8766666666666993E-2</v>
      </c>
      <c r="F26" s="2">
        <f>(0.334*0.5^((C26+5)/6.31))*'EF Adjustment Table'!I$15</f>
        <v>5.6463812719294071E-2</v>
      </c>
      <c r="G26" s="8">
        <f t="shared" si="10"/>
        <v>75.28508362572542</v>
      </c>
      <c r="H26" s="2">
        <f>IF(Calculator!$E$11='GWP reference values'!$C$6,G26*'GWP reference values'!$D$6/1000,IF(Calculator!$E$11='GWP reference values'!$C$7,G26*'GWP reference values'!$D$7/1000,IF(Calculator!$E$11='GWP reference values'!$C$8,G26*'GWP reference values'!$D$8/1000,"Error")))</f>
        <v>2.1079823415203118</v>
      </c>
      <c r="I26" s="2">
        <f t="shared" si="11"/>
        <v>2.1567490081869787</v>
      </c>
      <c r="J26" s="3">
        <f t="shared" si="12"/>
        <v>13</v>
      </c>
    </row>
    <row r="27" spans="3:10" x14ac:dyDescent="0.25">
      <c r="C27" s="3">
        <v>14</v>
      </c>
      <c r="D27" s="3">
        <f t="shared" si="8"/>
        <v>0.14739999999999998</v>
      </c>
      <c r="E27" s="3">
        <f t="shared" si="9"/>
        <v>0.54046666666666665</v>
      </c>
      <c r="F27" s="2">
        <f>(0.334*0.5^((C27+5)/6.31))*'EF Adjustment Table'!I$15</f>
        <v>5.0589849409147507E-2</v>
      </c>
      <c r="G27" s="8">
        <f t="shared" si="10"/>
        <v>67.453132545530011</v>
      </c>
      <c r="H27" s="2">
        <f>IF(Calculator!$E$11='GWP reference values'!$C$6,G27*'GWP reference values'!$D$6/1000,IF(Calculator!$E$11='GWP reference values'!$C$7,G27*'GWP reference values'!$D$7/1000,IF(Calculator!$E$11='GWP reference values'!$C$8,G27*'GWP reference values'!$D$8/1000,"Error")))</f>
        <v>1.8886877112748401</v>
      </c>
      <c r="I27" s="2">
        <f t="shared" si="11"/>
        <v>2.429154377941507</v>
      </c>
      <c r="J27" s="3">
        <f t="shared" si="12"/>
        <v>14</v>
      </c>
    </row>
    <row r="28" spans="3:10" x14ac:dyDescent="0.25">
      <c r="C28" s="3">
        <v>15</v>
      </c>
      <c r="D28" s="3">
        <f t="shared" si="8"/>
        <v>0.28149999999999986</v>
      </c>
      <c r="E28" s="3">
        <f t="shared" si="9"/>
        <v>1.032166666666666</v>
      </c>
      <c r="F28" s="2">
        <f>(0.334*0.5^((C28+5)/6.31))*'EF Adjustment Table'!I$15</f>
        <v>4.5326957921948491E-2</v>
      </c>
      <c r="G28" s="8">
        <f t="shared" si="10"/>
        <v>60.435943895931324</v>
      </c>
      <c r="H28" s="2">
        <f>IF(Calculator!$E$11='GWP reference values'!$C$6,G28*'GWP reference values'!$D$6/1000,IF(Calculator!$E$11='GWP reference values'!$C$7,G28*'GWP reference values'!$D$7/1000,IF(Calculator!$E$11='GWP reference values'!$C$8,G28*'GWP reference values'!$D$8/1000,"Error")))</f>
        <v>1.6922064290860772</v>
      </c>
      <c r="I28" s="2">
        <f t="shared" si="11"/>
        <v>2.7243730957527434</v>
      </c>
      <c r="J28" s="3">
        <f t="shared" si="12"/>
        <v>15</v>
      </c>
    </row>
    <row r="29" spans="3:10" x14ac:dyDescent="0.25">
      <c r="C29" s="3">
        <v>16</v>
      </c>
      <c r="D29" s="3">
        <f t="shared" si="8"/>
        <v>0.41559999999999997</v>
      </c>
      <c r="E29" s="3">
        <f t="shared" si="9"/>
        <v>1.5238666666666665</v>
      </c>
      <c r="F29" s="2">
        <f>(0.334*0.5^((C29+5)/6.31))*'EF Adjustment Table'!I$15</f>
        <v>4.0611568100192723E-2</v>
      </c>
      <c r="G29" s="8">
        <f t="shared" si="10"/>
        <v>54.148757466923627</v>
      </c>
      <c r="H29" s="2">
        <f>IF(Calculator!$E$11='GWP reference values'!$C$6,G29*'GWP reference values'!$D$6/1000,IF(Calculator!$E$11='GWP reference values'!$C$7,G29*'GWP reference values'!$D$7/1000,IF(Calculator!$E$11='GWP reference values'!$C$8,G29*'GWP reference values'!$D$8/1000,"Error")))</f>
        <v>1.5161652090738618</v>
      </c>
      <c r="I29" s="2">
        <f t="shared" si="11"/>
        <v>3.040031875740528</v>
      </c>
      <c r="J29" s="3">
        <f t="shared" si="12"/>
        <v>16</v>
      </c>
    </row>
    <row r="30" spans="3:10" x14ac:dyDescent="0.25">
      <c r="C30" s="3">
        <v>17</v>
      </c>
      <c r="D30" s="3">
        <f t="shared" si="8"/>
        <v>0.54970000000000008</v>
      </c>
      <c r="E30" s="3">
        <f t="shared" si="9"/>
        <v>2.015566666666667</v>
      </c>
      <c r="F30" s="2">
        <f>(0.334*0.5^((C30+5)/6.31))*'EF Adjustment Table'!I$15</f>
        <v>3.6386723026871327E-2</v>
      </c>
      <c r="G30" s="8">
        <f t="shared" si="10"/>
        <v>48.515630702495109</v>
      </c>
      <c r="H30" s="2">
        <f>IF(Calculator!$E$11='GWP reference values'!$C$6,G30*'GWP reference values'!$D$6/1000,IF(Calculator!$E$11='GWP reference values'!$C$7,G30*'GWP reference values'!$D$7/1000,IF(Calculator!$E$11='GWP reference values'!$C$8,G30*'GWP reference values'!$D$8/1000,"Error")))</f>
        <v>1.3584376596698631</v>
      </c>
      <c r="I30" s="2">
        <f t="shared" si="11"/>
        <v>3.37400432633653</v>
      </c>
      <c r="J30" s="3">
        <f t="shared" si="12"/>
        <v>17</v>
      </c>
    </row>
    <row r="31" spans="3:10" x14ac:dyDescent="0.25">
      <c r="C31" s="3">
        <v>18</v>
      </c>
      <c r="D31" s="3">
        <f t="shared" si="8"/>
        <v>0.68380000000000019</v>
      </c>
      <c r="E31" s="3">
        <f t="shared" si="9"/>
        <v>2.5072666666666676</v>
      </c>
      <c r="F31" s="2">
        <f>(0.334*0.5^((C31+5)/6.31))*'EF Adjustment Table'!I$15</f>
        <v>3.2601391046211917E-2</v>
      </c>
      <c r="G31" s="8">
        <f t="shared" si="10"/>
        <v>43.468521394949221</v>
      </c>
      <c r="H31" s="2">
        <f>IF(Calculator!$E$11='GWP reference values'!$C$6,G31*'GWP reference values'!$D$6/1000,IF(Calculator!$E$11='GWP reference values'!$C$7,G31*'GWP reference values'!$D$7/1000,IF(Calculator!$E$11='GWP reference values'!$C$8,G31*'GWP reference values'!$D$8/1000,"Error")))</f>
        <v>1.2171185990585782</v>
      </c>
      <c r="I31" s="2">
        <f t="shared" si="11"/>
        <v>3.7243852657252461</v>
      </c>
      <c r="J31" s="3">
        <f t="shared" si="12"/>
        <v>18</v>
      </c>
    </row>
    <row r="32" spans="3:10" x14ac:dyDescent="0.25">
      <c r="C32" s="3">
        <v>19</v>
      </c>
      <c r="D32" s="3">
        <f t="shared" ref="D32:D38" si="13">0.1341*C32-1.73</f>
        <v>0.81789999999999985</v>
      </c>
      <c r="E32" s="3">
        <f t="shared" ref="E32:E38" si="14">D32/12*44</f>
        <v>2.9989666666666661</v>
      </c>
      <c r="F32" s="2">
        <f>(0.334*0.5^((C32+5)/6.31))*'EF Adjustment Table'!I$15</f>
        <v>2.9209849355302457E-2</v>
      </c>
      <c r="G32" s="8">
        <f t="shared" ref="G32:G37" si="15">F32*1000*16/12</f>
        <v>38.946465807069941</v>
      </c>
      <c r="H32" s="2">
        <f>IF(Calculator!$E$11='GWP reference values'!$C$6,G32*'GWP reference values'!$D$6/1000,IF(Calculator!$E$11='GWP reference values'!$C$7,G32*'GWP reference values'!$D$7/1000,IF(Calculator!$E$11='GWP reference values'!$C$8,G32*'GWP reference values'!$D$8/1000,"Error")))</f>
        <v>1.0905010425979582</v>
      </c>
      <c r="I32" s="2">
        <f t="shared" si="11"/>
        <v>4.0894677092646248</v>
      </c>
      <c r="J32" s="3">
        <f t="shared" si="12"/>
        <v>19</v>
      </c>
    </row>
    <row r="33" spans="3:10" x14ac:dyDescent="0.25">
      <c r="C33" s="3">
        <v>20</v>
      </c>
      <c r="D33" s="3">
        <f t="shared" si="13"/>
        <v>0.95199999999999996</v>
      </c>
      <c r="E33" s="3">
        <f t="shared" si="14"/>
        <v>3.4906666666666664</v>
      </c>
      <c r="F33" s="2">
        <f>(0.334*0.5^((C33+5)/6.31))*'EF Adjustment Table'!I$15</f>
        <v>2.6171131721037459E-2</v>
      </c>
      <c r="G33" s="8">
        <f t="shared" si="15"/>
        <v>34.894842294716611</v>
      </c>
      <c r="H33" s="2">
        <f>IF(Calculator!$E$11='GWP reference values'!$C$6,G33*'GWP reference values'!$D$6/1000,IF(Calculator!$E$11='GWP reference values'!$C$7,G33*'GWP reference values'!$D$7/1000,IF(Calculator!$E$11='GWP reference values'!$C$8,G33*'GWP reference values'!$D$8/1000,"Error")))</f>
        <v>0.97705558425206507</v>
      </c>
      <c r="I33" s="2">
        <f t="shared" si="11"/>
        <v>4.4677222509187313</v>
      </c>
      <c r="J33" s="3">
        <f t="shared" si="12"/>
        <v>20</v>
      </c>
    </row>
    <row r="34" spans="3:10" x14ac:dyDescent="0.25">
      <c r="C34" s="3">
        <v>21</v>
      </c>
      <c r="D34" s="3">
        <f t="shared" si="13"/>
        <v>1.0861000000000001</v>
      </c>
      <c r="E34" s="3">
        <f t="shared" si="14"/>
        <v>3.9823666666666671</v>
      </c>
      <c r="F34" s="2">
        <f>(0.334*0.5^((C34+5)/6.31))*'EF Adjustment Table'!I$15</f>
        <v>2.3448533651391747E-2</v>
      </c>
      <c r="G34" s="8">
        <f t="shared" si="15"/>
        <v>31.264711535188994</v>
      </c>
      <c r="H34" s="2">
        <f>IF(Calculator!$E$11='GWP reference values'!$C$6,G34*'GWP reference values'!$D$6/1000,IF(Calculator!$E$11='GWP reference values'!$C$7,G34*'GWP reference values'!$D$7/1000,IF(Calculator!$E$11='GWP reference values'!$C$8,G34*'GWP reference values'!$D$8/1000,"Error")))</f>
        <v>0.8754119229852918</v>
      </c>
      <c r="I34" s="2">
        <f t="shared" si="11"/>
        <v>4.857778589651959</v>
      </c>
      <c r="J34" s="3">
        <f t="shared" si="12"/>
        <v>21</v>
      </c>
    </row>
    <row r="35" spans="3:10" x14ac:dyDescent="0.25">
      <c r="C35" s="3">
        <v>22</v>
      </c>
      <c r="D35" s="3">
        <f t="shared" si="13"/>
        <v>1.2201999999999997</v>
      </c>
      <c r="E35" s="3">
        <f t="shared" si="14"/>
        <v>4.4740666666666655</v>
      </c>
      <c r="F35" s="2">
        <f>(0.334*0.5^((C35+5)/6.31))*'EF Adjustment Table'!I$15</f>
        <v>2.1009169044014692E-2</v>
      </c>
      <c r="G35" s="8">
        <f t="shared" si="15"/>
        <v>28.012225392019591</v>
      </c>
      <c r="H35" s="2">
        <f>IF(Calculator!$E$11='GWP reference values'!$C$6,G35*'GWP reference values'!$D$6/1000,IF(Calculator!$E$11='GWP reference values'!$C$7,G35*'GWP reference values'!$D$7/1000,IF(Calculator!$E$11='GWP reference values'!$C$8,G35*'GWP reference values'!$D$8/1000,"Error")))</f>
        <v>0.78434231097654861</v>
      </c>
      <c r="I35" s="2">
        <f t="shared" si="11"/>
        <v>5.2584089776432137</v>
      </c>
      <c r="J35" s="3">
        <f t="shared" si="12"/>
        <v>22</v>
      </c>
    </row>
    <row r="36" spans="3:10" x14ac:dyDescent="0.25">
      <c r="C36" s="3">
        <v>23</v>
      </c>
      <c r="D36" s="3">
        <f t="shared" si="13"/>
        <v>1.3542999999999998</v>
      </c>
      <c r="E36" s="3">
        <f t="shared" si="14"/>
        <v>4.9657666666666662</v>
      </c>
      <c r="F36" s="2">
        <f>(0.334*0.5^((C36+5)/6.31))*'EF Adjustment Table'!I$15</f>
        <v>1.8823572956929338E-2</v>
      </c>
      <c r="G36" s="8">
        <f t="shared" si="15"/>
        <v>25.098097275905786</v>
      </c>
      <c r="H36" s="2">
        <f>IF(Calculator!$E$11='GWP reference values'!$C$6,G36*'GWP reference values'!$D$6/1000,IF(Calculator!$E$11='GWP reference values'!$C$7,G36*'GWP reference values'!$D$7/1000,IF(Calculator!$E$11='GWP reference values'!$C$8,G36*'GWP reference values'!$D$8/1000,"Error")))</f>
        <v>0.70274672372536207</v>
      </c>
      <c r="I36" s="2">
        <f t="shared" si="11"/>
        <v>5.668513390392028</v>
      </c>
      <c r="J36" s="3">
        <f t="shared" si="12"/>
        <v>23</v>
      </c>
    </row>
    <row r="37" spans="3:10" x14ac:dyDescent="0.25">
      <c r="C37" s="3">
        <v>24</v>
      </c>
      <c r="D37" s="3">
        <f t="shared" si="13"/>
        <v>1.4883999999999999</v>
      </c>
      <c r="E37" s="3">
        <f t="shared" si="14"/>
        <v>5.4574666666666669</v>
      </c>
      <c r="F37" s="2">
        <f>(0.334*0.5^((C37+5)/6.31))*'EF Adjustment Table'!I$15</f>
        <v>1.6865345703226935E-2</v>
      </c>
      <c r="G37" s="8">
        <f t="shared" si="15"/>
        <v>22.487127604302582</v>
      </c>
      <c r="H37" s="2">
        <f>IF(Calculator!$E$11='GWP reference values'!$C$6,G37*'GWP reference values'!$D$6/1000,IF(Calculator!$E$11='GWP reference values'!$C$7,G37*'GWP reference values'!$D$7/1000,IF(Calculator!$E$11='GWP reference values'!$C$8,G37*'GWP reference values'!$D$8/1000,"Error")))</f>
        <v>0.62963957292047235</v>
      </c>
      <c r="I37" s="2">
        <f t="shared" si="11"/>
        <v>6.0871062395871389</v>
      </c>
      <c r="J37" s="3">
        <f t="shared" si="12"/>
        <v>24</v>
      </c>
    </row>
    <row r="38" spans="3:10" x14ac:dyDescent="0.25">
      <c r="C38" s="3">
        <v>25</v>
      </c>
      <c r="D38" s="3">
        <f t="shared" si="13"/>
        <v>1.6225000000000001</v>
      </c>
      <c r="E38" s="3">
        <f t="shared" si="14"/>
        <v>5.9491666666666676</v>
      </c>
      <c r="F38" s="2">
        <f>(0.334*0.5^((C38+5)/6.31))*'EF Adjustment Table'!I$15</f>
        <v>1.5110833970797618E-2</v>
      </c>
      <c r="G38" s="8">
        <f t="shared" ref="G38" si="16">F38*1000*16/12</f>
        <v>20.147778627730158</v>
      </c>
      <c r="H38" s="2">
        <f>IF(Calculator!$E$11='GWP reference values'!$C$6,G38*'GWP reference values'!$D$6/1000,IF(Calculator!$E$11='GWP reference values'!$C$7,G38*'GWP reference values'!$D$7/1000,IF(Calculator!$E$11='GWP reference values'!$C$8,G38*'GWP reference values'!$D$8/1000,"Error")))</f>
        <v>0.56413780157644444</v>
      </c>
      <c r="I38" s="2">
        <f t="shared" si="11"/>
        <v>6.5133044682431116</v>
      </c>
      <c r="J38" s="3">
        <f t="shared" si="12"/>
        <v>25</v>
      </c>
    </row>
    <row r="39" spans="3:10" x14ac:dyDescent="0.25">
      <c r="C39" s="3">
        <v>26</v>
      </c>
      <c r="D39" s="3">
        <f t="shared" si="0"/>
        <v>1.7566000000000002</v>
      </c>
      <c r="E39" s="3">
        <f t="shared" si="1"/>
        <v>6.4408666666666665</v>
      </c>
      <c r="F39" s="2">
        <f>(0.334*0.5^((C39+5)/6.31))*'EF Adjustment Table'!I$15</f>
        <v>1.3538845115361148E-2</v>
      </c>
      <c r="G39" s="8">
        <f t="shared" si="2"/>
        <v>18.051793487148199</v>
      </c>
      <c r="H39" s="2">
        <f>IF(Calculator!$E$11='GWP reference values'!$C$6,G39*'GWP reference values'!$D$6/1000,IF(Calculator!$E$11='GWP reference values'!$C$7,G39*'GWP reference values'!$D$7/1000,IF(Calculator!$E$11='GWP reference values'!$C$8,G39*'GWP reference values'!$D$8/1000,"Error")))</f>
        <v>0.50545021764014952</v>
      </c>
      <c r="I39" s="2">
        <f t="shared" si="11"/>
        <v>6.9463168843068157</v>
      </c>
      <c r="J39" s="3">
        <f t="shared" si="12"/>
        <v>26</v>
      </c>
    </row>
    <row r="40" spans="3:10" x14ac:dyDescent="0.25">
      <c r="C40" s="3">
        <v>27</v>
      </c>
      <c r="D40" s="3">
        <f t="shared" ref="D40:D77" si="17">0.1341*C40-1.73</f>
        <v>1.8906999999999998</v>
      </c>
      <c r="E40" s="3">
        <f t="shared" ref="E40:E77" si="18">D40/12*44</f>
        <v>6.9325666666666663</v>
      </c>
      <c r="F40" s="2">
        <f>(0.334*0.5^((C40+5)/6.31))*'EF Adjustment Table'!I$15</f>
        <v>1.2130391175760048E-2</v>
      </c>
      <c r="G40" s="8">
        <f t="shared" ref="G40:G77" si="19">F40*1000*16/12</f>
        <v>16.173854901013396</v>
      </c>
      <c r="H40" s="2">
        <f>IF(Calculator!$E$11='GWP reference values'!$C$6,G40*'GWP reference values'!$D$6/1000,IF(Calculator!$E$11='GWP reference values'!$C$7,G40*'GWP reference values'!$D$7/1000,IF(Calculator!$E$11='GWP reference values'!$C$8,G40*'GWP reference values'!$D$8/1000,"Error")))</f>
        <v>0.45286793722837509</v>
      </c>
      <c r="I40" s="2">
        <f t="shared" si="11"/>
        <v>7.3854346038950416</v>
      </c>
      <c r="J40" s="3">
        <f t="shared" si="12"/>
        <v>27</v>
      </c>
    </row>
    <row r="41" spans="3:10" x14ac:dyDescent="0.25">
      <c r="C41" s="3">
        <v>28</v>
      </c>
      <c r="D41" s="3">
        <f t="shared" si="17"/>
        <v>2.0247999999999999</v>
      </c>
      <c r="E41" s="3">
        <f t="shared" si="18"/>
        <v>7.4242666666666661</v>
      </c>
      <c r="F41" s="2">
        <f>(0.334*0.5^((C41+5)/6.31))*'EF Adjustment Table'!I$15</f>
        <v>1.0868459519490715E-2</v>
      </c>
      <c r="G41" s="8">
        <f t="shared" si="19"/>
        <v>14.491279359320954</v>
      </c>
      <c r="H41" s="2">
        <f>IF(Calculator!$E$11='GWP reference values'!$C$6,G41*'GWP reference values'!$D$6/1000,IF(Calculator!$E$11='GWP reference values'!$C$7,G41*'GWP reference values'!$D$7/1000,IF(Calculator!$E$11='GWP reference values'!$C$8,G41*'GWP reference values'!$D$8/1000,"Error")))</f>
        <v>0.4057558220609867</v>
      </c>
      <c r="I41" s="2">
        <f t="shared" si="11"/>
        <v>7.8300224887276526</v>
      </c>
      <c r="J41" s="3">
        <f t="shared" si="12"/>
        <v>28</v>
      </c>
    </row>
    <row r="42" spans="3:10" x14ac:dyDescent="0.25">
      <c r="C42" s="3">
        <v>29</v>
      </c>
      <c r="D42" s="3">
        <f t="shared" si="17"/>
        <v>2.1589</v>
      </c>
      <c r="E42" s="3">
        <f t="shared" si="18"/>
        <v>7.9159666666666668</v>
      </c>
      <c r="F42" s="2">
        <f>(0.334*0.5^((C42+5)/6.31))*'EF Adjustment Table'!I$15</f>
        <v>9.7378073481135807E-3</v>
      </c>
      <c r="G42" s="8">
        <f t="shared" si="19"/>
        <v>12.983743130818107</v>
      </c>
      <c r="H42" s="2">
        <f>IF(Calculator!$E$11='GWP reference values'!$C$6,G42*'GWP reference values'!$D$6/1000,IF(Calculator!$E$11='GWP reference values'!$C$7,G42*'GWP reference values'!$D$7/1000,IF(Calculator!$E$11='GWP reference values'!$C$8,G42*'GWP reference values'!$D$8/1000,"Error")))</f>
        <v>0.36354480766290698</v>
      </c>
      <c r="I42" s="2">
        <f t="shared" si="11"/>
        <v>8.2795114743295741</v>
      </c>
      <c r="J42" s="3">
        <f t="shared" si="12"/>
        <v>29</v>
      </c>
    </row>
    <row r="43" spans="3:10" x14ac:dyDescent="0.25">
      <c r="C43" s="3">
        <v>30</v>
      </c>
      <c r="D43" s="3">
        <f t="shared" si="17"/>
        <v>2.2929999999999997</v>
      </c>
      <c r="E43" s="3">
        <f t="shared" si="18"/>
        <v>8.4076666666666657</v>
      </c>
      <c r="F43" s="2">
        <f>(0.334*0.5^((C43+5)/6.31))*'EF Adjustment Table'!I$15</f>
        <v>8.7247775803850295E-3</v>
      </c>
      <c r="G43" s="8">
        <f t="shared" si="19"/>
        <v>11.633036773846706</v>
      </c>
      <c r="H43" s="2">
        <f>IF(Calculator!$E$11='GWP reference values'!$C$6,G43*'GWP reference values'!$D$6/1000,IF(Calculator!$E$11='GWP reference values'!$C$7,G43*'GWP reference values'!$D$7/1000,IF(Calculator!$E$11='GWP reference values'!$C$8,G43*'GWP reference values'!$D$8/1000,"Error")))</f>
        <v>0.32572502966770778</v>
      </c>
      <c r="I43" s="2">
        <f t="shared" si="11"/>
        <v>8.7333916963343743</v>
      </c>
      <c r="J43" s="3">
        <f t="shared" si="12"/>
        <v>30</v>
      </c>
    </row>
    <row r="44" spans="3:10" x14ac:dyDescent="0.25">
      <c r="C44" s="3">
        <v>31</v>
      </c>
      <c r="D44" s="3">
        <f t="shared" si="17"/>
        <v>2.4270999999999998</v>
      </c>
      <c r="E44" s="3">
        <f t="shared" si="18"/>
        <v>8.8993666666666655</v>
      </c>
      <c r="F44" s="2">
        <f>(0.334*0.5^((C44+5)/6.31))*'EF Adjustment Table'!I$15</f>
        <v>7.8171338891743075E-3</v>
      </c>
      <c r="G44" s="8">
        <f t="shared" si="19"/>
        <v>10.422845185565743</v>
      </c>
      <c r="H44" s="2">
        <f>IF(Calculator!$E$11='GWP reference values'!$C$6,G44*'GWP reference values'!$D$6/1000,IF(Calculator!$E$11='GWP reference values'!$C$7,G44*'GWP reference values'!$D$7/1000,IF(Calculator!$E$11='GWP reference values'!$C$8,G44*'GWP reference values'!$D$8/1000,"Error")))</f>
        <v>0.29183966519584076</v>
      </c>
      <c r="I44" s="2">
        <f t="shared" si="11"/>
        <v>9.1912063318625066</v>
      </c>
      <c r="J44" s="3">
        <f t="shared" si="12"/>
        <v>31</v>
      </c>
    </row>
    <row r="45" spans="3:10" x14ac:dyDescent="0.25">
      <c r="C45" s="3">
        <v>32</v>
      </c>
      <c r="D45" s="3">
        <f t="shared" si="17"/>
        <v>2.5611999999999999</v>
      </c>
      <c r="E45" s="3">
        <f t="shared" si="18"/>
        <v>9.3910666666666671</v>
      </c>
      <c r="F45" s="2">
        <f>(0.334*0.5^((C45+5)/6.31))*'EF Adjustment Table'!I$15</f>
        <v>7.0039128995859987E-3</v>
      </c>
      <c r="G45" s="8">
        <f t="shared" si="19"/>
        <v>9.3385505327813316</v>
      </c>
      <c r="H45" s="2">
        <f>IF(Calculator!$E$11='GWP reference values'!$C$6,G45*'GWP reference values'!$D$6/1000,IF(Calculator!$E$11='GWP reference values'!$C$7,G45*'GWP reference values'!$D$7/1000,IF(Calculator!$E$11='GWP reference values'!$C$8,G45*'GWP reference values'!$D$8/1000,"Error")))</f>
        <v>0.2614794149178773</v>
      </c>
      <c r="I45" s="2">
        <f t="shared" si="11"/>
        <v>9.6525460815845445</v>
      </c>
      <c r="J45" s="3">
        <f t="shared" si="12"/>
        <v>32</v>
      </c>
    </row>
    <row r="46" spans="3:10" x14ac:dyDescent="0.25">
      <c r="C46" s="3">
        <v>33</v>
      </c>
      <c r="D46" s="3">
        <f t="shared" si="17"/>
        <v>2.6953</v>
      </c>
      <c r="E46" s="3">
        <f t="shared" si="18"/>
        <v>9.8827666666666669</v>
      </c>
      <c r="F46" s="2">
        <f>(0.334*0.5^((C46+5)/6.31))*'EF Adjustment Table'!I$15</f>
        <v>6.2752917629978876E-3</v>
      </c>
      <c r="G46" s="8">
        <f t="shared" si="19"/>
        <v>8.367055683997183</v>
      </c>
      <c r="H46" s="2">
        <f>IF(Calculator!$E$11='GWP reference values'!$C$6,G46*'GWP reference values'!$D$6/1000,IF(Calculator!$E$11='GWP reference values'!$C$7,G46*'GWP reference values'!$D$7/1000,IF(Calculator!$E$11='GWP reference values'!$C$8,G46*'GWP reference values'!$D$8/1000,"Error")))</f>
        <v>0.23427755915192114</v>
      </c>
      <c r="I46" s="2">
        <f t="shared" si="11"/>
        <v>10.117044225818589</v>
      </c>
      <c r="J46" s="3">
        <f t="shared" si="12"/>
        <v>33</v>
      </c>
    </row>
    <row r="47" spans="3:10" x14ac:dyDescent="0.25">
      <c r="C47" s="3">
        <v>34</v>
      </c>
      <c r="D47" s="3">
        <f t="shared" si="17"/>
        <v>2.8294000000000001</v>
      </c>
      <c r="E47" s="3">
        <f t="shared" si="18"/>
        <v>10.374466666666667</v>
      </c>
      <c r="F47" s="2">
        <f>(0.334*0.5^((C47+5)/6.31))*'EF Adjustment Table'!I$15</f>
        <v>5.6224695074487312E-3</v>
      </c>
      <c r="G47" s="8">
        <f t="shared" si="19"/>
        <v>7.4966260099316422</v>
      </c>
      <c r="H47" s="2">
        <f>IF(Calculator!$E$11='GWP reference values'!$C$6,G47*'GWP reference values'!$D$6/1000,IF(Calculator!$E$11='GWP reference values'!$C$7,G47*'GWP reference values'!$D$7/1000,IF(Calculator!$E$11='GWP reference values'!$C$8,G47*'GWP reference values'!$D$8/1000,"Error")))</f>
        <v>0.20990552827808598</v>
      </c>
      <c r="I47" s="2">
        <f t="shared" si="11"/>
        <v>10.584372194944752</v>
      </c>
      <c r="J47" s="3">
        <f t="shared" si="12"/>
        <v>34</v>
      </c>
    </row>
    <row r="48" spans="3:10" x14ac:dyDescent="0.25">
      <c r="C48" s="3">
        <v>35</v>
      </c>
      <c r="D48" s="3">
        <f t="shared" si="17"/>
        <v>2.9635000000000002</v>
      </c>
      <c r="E48" s="3">
        <f t="shared" si="18"/>
        <v>10.866166666666668</v>
      </c>
      <c r="F48" s="2">
        <f>(0.334*0.5^((C48+5)/6.31))*'EF Adjustment Table'!I$15</f>
        <v>5.0375607312143147E-3</v>
      </c>
      <c r="G48" s="8">
        <f t="shared" si="19"/>
        <v>6.7167476416190866</v>
      </c>
      <c r="H48" s="2">
        <f>IF(Calculator!$E$11='GWP reference values'!$C$6,G48*'GWP reference values'!$D$6/1000,IF(Calculator!$E$11='GWP reference values'!$C$7,G48*'GWP reference values'!$D$7/1000,IF(Calculator!$E$11='GWP reference values'!$C$8,G48*'GWP reference values'!$D$8/1000,"Error")))</f>
        <v>0.18806893396533442</v>
      </c>
      <c r="I48" s="2">
        <f t="shared" si="11"/>
        <v>11.054235600632003</v>
      </c>
      <c r="J48" s="3">
        <f t="shared" si="12"/>
        <v>35</v>
      </c>
    </row>
    <row r="49" spans="3:10" x14ac:dyDescent="0.25">
      <c r="C49" s="3">
        <v>36</v>
      </c>
      <c r="D49" s="3">
        <f t="shared" si="17"/>
        <v>3.0976000000000004</v>
      </c>
      <c r="E49" s="3">
        <f t="shared" si="18"/>
        <v>11.357866666666668</v>
      </c>
      <c r="F49" s="2">
        <f>(0.334*0.5^((C49+5)/6.31))*'EF Adjustment Table'!I$15</f>
        <v>4.5135003555026179E-3</v>
      </c>
      <c r="G49" s="8">
        <f t="shared" si="19"/>
        <v>6.0180004740034905</v>
      </c>
      <c r="H49" s="2">
        <f>IF(Calculator!$E$11='GWP reference values'!$C$6,G49*'GWP reference values'!$D$6/1000,IF(Calculator!$E$11='GWP reference values'!$C$7,G49*'GWP reference values'!$D$7/1000,IF(Calculator!$E$11='GWP reference values'!$C$8,G49*'GWP reference values'!$D$8/1000,"Error")))</f>
        <v>0.16850401327209771</v>
      </c>
      <c r="I49" s="2">
        <f t="shared" si="11"/>
        <v>11.526370679938767</v>
      </c>
      <c r="J49" s="3">
        <f t="shared" si="12"/>
        <v>36</v>
      </c>
    </row>
    <row r="50" spans="3:10" x14ac:dyDescent="0.25">
      <c r="C50" s="3">
        <v>37</v>
      </c>
      <c r="D50" s="3">
        <f t="shared" si="17"/>
        <v>3.2316999999999996</v>
      </c>
      <c r="E50" s="3">
        <f t="shared" si="18"/>
        <v>11.849566666666666</v>
      </c>
      <c r="F50" s="2">
        <f>(0.334*0.5^((C50+5)/6.31))*'EF Adjustment Table'!I$15</f>
        <v>4.0439582857816269E-3</v>
      </c>
      <c r="G50" s="8">
        <f t="shared" si="19"/>
        <v>5.391944381042169</v>
      </c>
      <c r="H50" s="2">
        <f>IF(Calculator!$E$11='GWP reference values'!$C$6,G50*'GWP reference values'!$D$6/1000,IF(Calculator!$E$11='GWP reference values'!$C$7,G50*'GWP reference values'!$D$7/1000,IF(Calculator!$E$11='GWP reference values'!$C$8,G50*'GWP reference values'!$D$8/1000,"Error")))</f>
        <v>0.15097444266918075</v>
      </c>
      <c r="I50" s="2">
        <f t="shared" si="11"/>
        <v>12.000541109335847</v>
      </c>
      <c r="J50" s="3">
        <f t="shared" si="12"/>
        <v>37</v>
      </c>
    </row>
    <row r="51" spans="3:10" x14ac:dyDescent="0.25">
      <c r="C51" s="3">
        <v>38</v>
      </c>
      <c r="D51" s="3">
        <f t="shared" si="17"/>
        <v>3.3657999999999997</v>
      </c>
      <c r="E51" s="3">
        <f t="shared" si="18"/>
        <v>12.341266666666666</v>
      </c>
      <c r="F51" s="2">
        <f>(0.334*0.5^((C51+5)/6.31))*'EF Adjustment Table'!I$15</f>
        <v>3.6232629509388233E-3</v>
      </c>
      <c r="G51" s="8">
        <f t="shared" si="19"/>
        <v>4.8310172679184307</v>
      </c>
      <c r="H51" s="2">
        <f>IF(Calculator!$E$11='GWP reference values'!$C$6,G51*'GWP reference values'!$D$6/1000,IF(Calculator!$E$11='GWP reference values'!$C$7,G51*'GWP reference values'!$D$7/1000,IF(Calculator!$E$11='GWP reference values'!$C$8,G51*'GWP reference values'!$D$8/1000,"Error")))</f>
        <v>0.13526848350171605</v>
      </c>
      <c r="I51" s="2">
        <f t="shared" si="11"/>
        <v>12.476535150168383</v>
      </c>
      <c r="J51" s="3">
        <f t="shared" si="12"/>
        <v>38</v>
      </c>
    </row>
    <row r="52" spans="3:10" x14ac:dyDescent="0.25">
      <c r="C52" s="3">
        <v>39</v>
      </c>
      <c r="D52" s="3">
        <f t="shared" si="17"/>
        <v>3.4998999999999998</v>
      </c>
      <c r="E52" s="3">
        <f t="shared" si="18"/>
        <v>12.832966666666666</v>
      </c>
      <c r="F52" s="2">
        <f>(0.334*0.5^((C52+5)/6.31))*'EF Adjustment Table'!I$15</f>
        <v>3.2463327967065104E-3</v>
      </c>
      <c r="G52" s="8">
        <f t="shared" si="19"/>
        <v>4.3284437289420135</v>
      </c>
      <c r="H52" s="2">
        <f>IF(Calculator!$E$11='GWP reference values'!$C$6,G52*'GWP reference values'!$D$6/1000,IF(Calculator!$E$11='GWP reference values'!$C$7,G52*'GWP reference values'!$D$7/1000,IF(Calculator!$E$11='GWP reference values'!$C$8,G52*'GWP reference values'!$D$8/1000,"Error")))</f>
        <v>0.12119642441037638</v>
      </c>
      <c r="I52" s="2">
        <f t="shared" si="11"/>
        <v>12.954163091077042</v>
      </c>
      <c r="J52" s="3">
        <f t="shared" si="12"/>
        <v>39</v>
      </c>
    </row>
    <row r="53" spans="3:10" x14ac:dyDescent="0.25">
      <c r="C53" s="3">
        <v>40</v>
      </c>
      <c r="D53" s="3">
        <f t="shared" si="17"/>
        <v>3.6339999999999999</v>
      </c>
      <c r="E53" s="3">
        <f t="shared" si="18"/>
        <v>13.324666666666667</v>
      </c>
      <c r="F53" s="2">
        <f>(0.334*0.5^((C53+5)/6.31))*'EF Adjustment Table'!I$15</f>
        <v>2.9086149058658931E-3</v>
      </c>
      <c r="G53" s="8">
        <f t="shared" si="19"/>
        <v>3.8781532078211907</v>
      </c>
      <c r="H53" s="2">
        <f>IF(Calculator!$E$11='GWP reference values'!$C$6,G53*'GWP reference values'!$D$6/1000,IF(Calculator!$E$11='GWP reference values'!$C$7,G53*'GWP reference values'!$D$7/1000,IF(Calculator!$E$11='GWP reference values'!$C$8,G53*'GWP reference values'!$D$8/1000,"Error")))</f>
        <v>0.10858828981899334</v>
      </c>
      <c r="I53" s="2">
        <f t="shared" si="11"/>
        <v>13.43325495648566</v>
      </c>
      <c r="J53" s="3">
        <f t="shared" si="12"/>
        <v>40</v>
      </c>
    </row>
    <row r="54" spans="3:10" x14ac:dyDescent="0.25">
      <c r="C54" s="3">
        <v>41</v>
      </c>
      <c r="D54" s="3">
        <f t="shared" si="17"/>
        <v>3.7681</v>
      </c>
      <c r="E54" s="3">
        <f t="shared" si="18"/>
        <v>13.816366666666667</v>
      </c>
      <c r="F54" s="2">
        <f>(0.334*0.5^((C54+5)/6.31))*'EF Adjustment Table'!I$15</f>
        <v>2.6060300038271483E-3</v>
      </c>
      <c r="G54" s="8">
        <f t="shared" si="19"/>
        <v>3.4747066717695314</v>
      </c>
      <c r="H54" s="2">
        <f>IF(Calculator!$E$11='GWP reference values'!$C$6,G54*'GWP reference values'!$D$6/1000,IF(Calculator!$E$11='GWP reference values'!$C$7,G54*'GWP reference values'!$D$7/1000,IF(Calculator!$E$11='GWP reference values'!$C$8,G54*'GWP reference values'!$D$8/1000,"Error")))</f>
        <v>9.7291786809546879E-2</v>
      </c>
      <c r="I54" s="2">
        <f t="shared" si="11"/>
        <v>13.913658453476215</v>
      </c>
      <c r="J54" s="3">
        <f t="shared" si="12"/>
        <v>41</v>
      </c>
    </row>
    <row r="55" spans="3:10" x14ac:dyDescent="0.25">
      <c r="C55" s="3">
        <v>42</v>
      </c>
      <c r="D55" s="3">
        <f t="shared" si="17"/>
        <v>3.9022000000000001</v>
      </c>
      <c r="E55" s="3">
        <f t="shared" si="18"/>
        <v>14.308066666666667</v>
      </c>
      <c r="F55" s="2">
        <f>(0.334*0.5^((C55+5)/6.31))*'EF Adjustment Table'!I$15</f>
        <v>2.334923185310958E-3</v>
      </c>
      <c r="G55" s="8">
        <f t="shared" si="19"/>
        <v>3.1132309137479441</v>
      </c>
      <c r="H55" s="2">
        <f>IF(Calculator!$E$11='GWP reference values'!$C$6,G55*'GWP reference values'!$D$6/1000,IF(Calculator!$E$11='GWP reference values'!$C$7,G55*'GWP reference values'!$D$7/1000,IF(Calculator!$E$11='GWP reference values'!$C$8,G55*'GWP reference values'!$D$8/1000,"Error")))</f>
        <v>8.717046558494243E-2</v>
      </c>
      <c r="I55" s="2">
        <f t="shared" si="11"/>
        <v>14.395237132251609</v>
      </c>
      <c r="J55" s="3">
        <f t="shared" si="12"/>
        <v>42</v>
      </c>
    </row>
    <row r="56" spans="3:10" x14ac:dyDescent="0.25">
      <c r="C56" s="3">
        <v>43</v>
      </c>
      <c r="D56" s="3">
        <f t="shared" si="17"/>
        <v>4.0363000000000007</v>
      </c>
      <c r="E56" s="3">
        <f t="shared" si="18"/>
        <v>14.799766666666669</v>
      </c>
      <c r="F56" s="2">
        <f>(0.334*0.5^((C56+5)/6.31))*'EF Adjustment Table'!I$15</f>
        <v>2.0920197669620855E-3</v>
      </c>
      <c r="G56" s="8">
        <f t="shared" si="19"/>
        <v>2.7893596892827808</v>
      </c>
      <c r="H56" s="2">
        <f>IF(Calculator!$E$11='GWP reference values'!$C$6,G56*'GWP reference values'!$D$6/1000,IF(Calculator!$E$11='GWP reference values'!$C$7,G56*'GWP reference values'!$D$7/1000,IF(Calculator!$E$11='GWP reference values'!$C$8,G56*'GWP reference values'!$D$8/1000,"Error")))</f>
        <v>7.8102071299917863E-2</v>
      </c>
      <c r="I56" s="2">
        <f t="shared" si="11"/>
        <v>14.877868737966587</v>
      </c>
      <c r="J56" s="3">
        <f t="shared" si="12"/>
        <v>43</v>
      </c>
    </row>
    <row r="57" spans="3:10" x14ac:dyDescent="0.25">
      <c r="C57" s="3">
        <v>44</v>
      </c>
      <c r="D57" s="3">
        <f t="shared" si="17"/>
        <v>4.170399999999999</v>
      </c>
      <c r="E57" s="3">
        <f t="shared" si="18"/>
        <v>15.291466666666663</v>
      </c>
      <c r="F57" s="2">
        <f>(0.334*0.5^((C57+5)/6.31))*'EF Adjustment Table'!I$15</f>
        <v>1.8743857326412386E-3</v>
      </c>
      <c r="G57" s="8">
        <f t="shared" si="19"/>
        <v>2.4991809768549849</v>
      </c>
      <c r="H57" s="2">
        <f>IF(Calculator!$E$11='GWP reference values'!$C$6,G57*'GWP reference values'!$D$6/1000,IF(Calculator!$E$11='GWP reference values'!$C$7,G57*'GWP reference values'!$D$7/1000,IF(Calculator!$E$11='GWP reference values'!$C$8,G57*'GWP reference values'!$D$8/1000,"Error")))</f>
        <v>6.9977067351939579E-2</v>
      </c>
      <c r="I57" s="2">
        <f t="shared" si="11"/>
        <v>15.361443734018602</v>
      </c>
      <c r="J57" s="3">
        <f t="shared" si="12"/>
        <v>44</v>
      </c>
    </row>
    <row r="58" spans="3:10" x14ac:dyDescent="0.25">
      <c r="C58" s="3">
        <v>45</v>
      </c>
      <c r="D58" s="3">
        <f t="shared" si="17"/>
        <v>4.3044999999999991</v>
      </c>
      <c r="E58" s="3">
        <f t="shared" si="18"/>
        <v>15.783166666666663</v>
      </c>
      <c r="F58" s="2">
        <f>(0.334*0.5^((C58+5)/6.31))*'EF Adjustment Table'!I$15</f>
        <v>1.6793922936162724E-3</v>
      </c>
      <c r="G58" s="8">
        <f t="shared" si="19"/>
        <v>2.2391897248216965</v>
      </c>
      <c r="H58" s="2">
        <f>IF(Calculator!$E$11='GWP reference values'!$C$6,G58*'GWP reference values'!$D$6/1000,IF(Calculator!$E$11='GWP reference values'!$C$7,G58*'GWP reference values'!$D$7/1000,IF(Calculator!$E$11='GWP reference values'!$C$8,G58*'GWP reference values'!$D$8/1000,"Error")))</f>
        <v>6.269731229500751E-2</v>
      </c>
      <c r="I58" s="2">
        <f t="shared" si="11"/>
        <v>15.84586397896167</v>
      </c>
      <c r="J58" s="3">
        <f t="shared" si="12"/>
        <v>45</v>
      </c>
    </row>
    <row r="59" spans="3:10" x14ac:dyDescent="0.25">
      <c r="C59" s="3">
        <v>46</v>
      </c>
      <c r="D59" s="3">
        <f t="shared" si="17"/>
        <v>4.4385999999999992</v>
      </c>
      <c r="E59" s="3">
        <f t="shared" si="18"/>
        <v>16.274866666666664</v>
      </c>
      <c r="F59" s="2">
        <f>(0.334*0.5^((C59+5)/6.31))*'EF Adjustment Table'!I$15</f>
        <v>1.5046841355773079E-3</v>
      </c>
      <c r="G59" s="8">
        <f t="shared" si="19"/>
        <v>2.0062455141030773</v>
      </c>
      <c r="H59" s="2">
        <f>IF(Calculator!$E$11='GWP reference values'!$C$6,G59*'GWP reference values'!$D$6/1000,IF(Calculator!$E$11='GWP reference values'!$C$7,G59*'GWP reference values'!$D$7/1000,IF(Calculator!$E$11='GWP reference values'!$C$8,G59*'GWP reference values'!$D$8/1000,"Error")))</f>
        <v>5.6174874394886158E-2</v>
      </c>
      <c r="I59" s="2">
        <f t="shared" si="11"/>
        <v>16.331041541061552</v>
      </c>
      <c r="J59" s="3">
        <f t="shared" si="12"/>
        <v>46</v>
      </c>
    </row>
    <row r="60" spans="3:10" x14ac:dyDescent="0.25">
      <c r="C60" s="3">
        <v>47</v>
      </c>
      <c r="D60" s="3">
        <f t="shared" si="17"/>
        <v>4.5726999999999993</v>
      </c>
      <c r="E60" s="3">
        <f t="shared" si="18"/>
        <v>16.766566666666662</v>
      </c>
      <c r="F60" s="2">
        <f>(0.334*0.5^((C60+5)/6.31))*'EF Adjustment Table'!I$15</f>
        <v>1.3481509689333819E-3</v>
      </c>
      <c r="G60" s="8">
        <f t="shared" si="19"/>
        <v>1.7975346252445092</v>
      </c>
      <c r="H60" s="2">
        <f>IF(Calculator!$E$11='GWP reference values'!$C$6,G60*'GWP reference values'!$D$6/1000,IF(Calculator!$E$11='GWP reference values'!$C$7,G60*'GWP reference values'!$D$7/1000,IF(Calculator!$E$11='GWP reference values'!$C$8,G60*'GWP reference values'!$D$8/1000,"Error")))</f>
        <v>5.0330969506846256E-2</v>
      </c>
      <c r="I60" s="2">
        <f t="shared" si="11"/>
        <v>16.816897636173508</v>
      </c>
      <c r="J60" s="3">
        <f t="shared" si="12"/>
        <v>47</v>
      </c>
    </row>
    <row r="61" spans="3:10" x14ac:dyDescent="0.25">
      <c r="C61" s="3">
        <v>48</v>
      </c>
      <c r="D61" s="3">
        <f t="shared" si="17"/>
        <v>4.7067999999999994</v>
      </c>
      <c r="E61" s="3">
        <f t="shared" si="18"/>
        <v>17.258266666666664</v>
      </c>
      <c r="F61" s="2">
        <f>(0.334*0.5^((C61+5)/6.31))*'EF Adjustment Table'!I$15</f>
        <v>1.2079020387482744E-3</v>
      </c>
      <c r="G61" s="8">
        <f t="shared" si="19"/>
        <v>1.6105360516643659</v>
      </c>
      <c r="H61" s="2">
        <f>IF(Calculator!$E$11='GWP reference values'!$C$6,G61*'GWP reference values'!$D$6/1000,IF(Calculator!$E$11='GWP reference values'!$C$7,G61*'GWP reference values'!$D$7/1000,IF(Calculator!$E$11='GWP reference values'!$C$8,G61*'GWP reference values'!$D$8/1000,"Error")))</f>
        <v>4.5095009446602247E-2</v>
      </c>
      <c r="I61" s="2">
        <f t="shared" si="11"/>
        <v>17.303361676113266</v>
      </c>
      <c r="J61" s="3">
        <f t="shared" si="12"/>
        <v>48</v>
      </c>
    </row>
    <row r="62" spans="3:10" x14ac:dyDescent="0.25">
      <c r="C62" s="3">
        <v>49</v>
      </c>
      <c r="D62" s="3">
        <f t="shared" si="17"/>
        <v>4.8408999999999995</v>
      </c>
      <c r="E62" s="3">
        <f t="shared" si="18"/>
        <v>17.749966666666666</v>
      </c>
      <c r="F62" s="2">
        <f>(0.334*0.5^((C62+5)/6.31))*'EF Adjustment Table'!I$15</f>
        <v>1.0822432864225728E-3</v>
      </c>
      <c r="G62" s="8">
        <f t="shared" si="19"/>
        <v>1.4429910485634305</v>
      </c>
      <c r="H62" s="2">
        <f>IF(Calculator!$E$11='GWP reference values'!$C$6,G62*'GWP reference values'!$D$6/1000,IF(Calculator!$E$11='GWP reference values'!$C$7,G62*'GWP reference values'!$D$7/1000,IF(Calculator!$E$11='GWP reference values'!$C$8,G62*'GWP reference values'!$D$8/1000,"Error")))</f>
        <v>4.0403749359776059E-2</v>
      </c>
      <c r="I62" s="2">
        <f t="shared" si="11"/>
        <v>17.790370416026441</v>
      </c>
      <c r="J62" s="3">
        <f t="shared" si="12"/>
        <v>49</v>
      </c>
    </row>
    <row r="63" spans="3:10" x14ac:dyDescent="0.25">
      <c r="C63" s="3">
        <v>50</v>
      </c>
      <c r="D63" s="3">
        <f t="shared" si="17"/>
        <v>4.9749999999999996</v>
      </c>
      <c r="E63" s="3">
        <f t="shared" si="18"/>
        <v>18.241666666666667</v>
      </c>
      <c r="F63" s="2">
        <f>(0.334*0.5^((C63+5)/6.31))*'EF Adjustment Table'!I$15</f>
        <v>9.6965688725923012E-4</v>
      </c>
      <c r="G63" s="8">
        <f t="shared" si="19"/>
        <v>1.2928758496789736</v>
      </c>
      <c r="H63" s="2">
        <f>IF(Calculator!$E$11='GWP reference values'!$C$6,G63*'GWP reference values'!$D$6/1000,IF(Calculator!$E$11='GWP reference values'!$C$7,G63*'GWP reference values'!$D$7/1000,IF(Calculator!$E$11='GWP reference values'!$C$8,G63*'GWP reference values'!$D$8/1000,"Error")))</f>
        <v>3.6200523791011262E-2</v>
      </c>
      <c r="I63" s="2">
        <f t="shared" si="11"/>
        <v>18.277867190457677</v>
      </c>
      <c r="J63" s="3">
        <f t="shared" si="12"/>
        <v>50</v>
      </c>
    </row>
    <row r="64" spans="3:10" x14ac:dyDescent="0.25">
      <c r="C64" s="3">
        <v>51</v>
      </c>
      <c r="D64" s="3">
        <f t="shared" si="17"/>
        <v>5.1090999999999998</v>
      </c>
      <c r="E64" s="3">
        <f t="shared" si="18"/>
        <v>18.733366666666665</v>
      </c>
      <c r="F64" s="2">
        <f>(0.334*0.5^((C64+5)/6.31))*'EF Adjustment Table'!I$15</f>
        <v>8.6878291674810735E-4</v>
      </c>
      <c r="G64" s="8">
        <f t="shared" si="19"/>
        <v>1.1583772223308098</v>
      </c>
      <c r="H64" s="2">
        <f>IF(Calculator!$E$11='GWP reference values'!$C$6,G64*'GWP reference values'!$D$6/1000,IF(Calculator!$E$11='GWP reference values'!$C$7,G64*'GWP reference values'!$D$7/1000,IF(Calculator!$E$11='GWP reference values'!$C$8,G64*'GWP reference values'!$D$8/1000,"Error")))</f>
        <v>3.2434562225262677E-2</v>
      </c>
      <c r="I64" s="2">
        <f t="shared" si="11"/>
        <v>18.765801228891927</v>
      </c>
      <c r="J64" s="3">
        <f t="shared" si="12"/>
        <v>51</v>
      </c>
    </row>
    <row r="65" spans="3:10" x14ac:dyDescent="0.25">
      <c r="C65" s="3">
        <v>52</v>
      </c>
      <c r="D65" s="3">
        <f t="shared" si="17"/>
        <v>5.2431999999999999</v>
      </c>
      <c r="E65" s="3">
        <f t="shared" si="18"/>
        <v>19.225066666666667</v>
      </c>
      <c r="F65" s="2">
        <f>(0.334*0.5^((C65+5)/6.31))*'EF Adjustment Table'!I$15</f>
        <v>7.784029241175933E-4</v>
      </c>
      <c r="G65" s="8">
        <f t="shared" si="19"/>
        <v>1.0378705654901244</v>
      </c>
      <c r="H65" s="2">
        <f>IF(Calculator!$E$11='GWP reference values'!$C$6,G65*'GWP reference values'!$D$6/1000,IF(Calculator!$E$11='GWP reference values'!$C$7,G65*'GWP reference values'!$D$7/1000,IF(Calculator!$E$11='GWP reference values'!$C$8,G65*'GWP reference values'!$D$8/1000,"Error")))</f>
        <v>2.9060375833723482E-2</v>
      </c>
      <c r="I65" s="2">
        <f t="shared" si="11"/>
        <v>19.254127042500389</v>
      </c>
      <c r="J65" s="3">
        <f t="shared" si="12"/>
        <v>52</v>
      </c>
    </row>
    <row r="66" spans="3:10" x14ac:dyDescent="0.25">
      <c r="C66" s="3">
        <v>53</v>
      </c>
      <c r="D66" s="3">
        <f t="shared" si="17"/>
        <v>5.3773</v>
      </c>
      <c r="E66" s="3">
        <f t="shared" si="18"/>
        <v>19.716766666666665</v>
      </c>
      <c r="F66" s="2">
        <f>(0.334*0.5^((C66+5)/6.31))*'EF Adjustment Table'!I$15</f>
        <v>6.9742521473922651E-4</v>
      </c>
      <c r="G66" s="8">
        <f t="shared" si="19"/>
        <v>0.92990028631896859</v>
      </c>
      <c r="H66" s="2">
        <f>IF(Calculator!$E$11='GWP reference values'!$C$6,G66*'GWP reference values'!$D$6/1000,IF(Calculator!$E$11='GWP reference values'!$C$7,G66*'GWP reference values'!$D$7/1000,IF(Calculator!$E$11='GWP reference values'!$C$8,G66*'GWP reference values'!$D$8/1000,"Error")))</f>
        <v>2.6037208016931122E-2</v>
      </c>
      <c r="I66" s="2">
        <f t="shared" si="11"/>
        <v>19.742803874683595</v>
      </c>
      <c r="J66" s="3">
        <f t="shared" si="12"/>
        <v>53</v>
      </c>
    </row>
    <row r="67" spans="3:10" x14ac:dyDescent="0.25">
      <c r="C67" s="3">
        <v>54</v>
      </c>
      <c r="D67" s="3">
        <f t="shared" si="17"/>
        <v>5.5114000000000001</v>
      </c>
      <c r="E67" s="3">
        <f t="shared" si="18"/>
        <v>20.208466666666666</v>
      </c>
      <c r="F67" s="2">
        <f>(0.334*0.5^((C67+5)/6.31))*'EF Adjustment Table'!I$15</f>
        <v>6.2487166361232095E-4</v>
      </c>
      <c r="G67" s="8">
        <f t="shared" si="19"/>
        <v>0.83316221814976121</v>
      </c>
      <c r="H67" s="2">
        <f>IF(Calculator!$E$11='GWP reference values'!$C$6,G67*'GWP reference values'!$D$6/1000,IF(Calculator!$E$11='GWP reference values'!$C$7,G67*'GWP reference values'!$D$7/1000,IF(Calculator!$E$11='GWP reference values'!$C$8,G67*'GWP reference values'!$D$8/1000,"Error")))</f>
        <v>2.3328542108193316E-2</v>
      </c>
      <c r="I67" s="2">
        <f t="shared" si="11"/>
        <v>20.231795208774859</v>
      </c>
      <c r="J67" s="3">
        <f t="shared" si="12"/>
        <v>54</v>
      </c>
    </row>
    <row r="68" spans="3:10" x14ac:dyDescent="0.25">
      <c r="C68" s="3">
        <v>55</v>
      </c>
      <c r="D68" s="3">
        <f t="shared" si="17"/>
        <v>5.6455000000000002</v>
      </c>
      <c r="E68" s="3">
        <f t="shared" si="18"/>
        <v>20.700166666666668</v>
      </c>
      <c r="F68" s="2">
        <f>(0.334*0.5^((C68+5)/6.31))*'EF Adjustment Table'!I$15</f>
        <v>5.5986590064947405E-4</v>
      </c>
      <c r="G68" s="8">
        <f t="shared" si="19"/>
        <v>0.74648786753263208</v>
      </c>
      <c r="H68" s="2">
        <f>IF(Calculator!$E$11='GWP reference values'!$C$6,G68*'GWP reference values'!$D$6/1000,IF(Calculator!$E$11='GWP reference values'!$C$7,G68*'GWP reference values'!$D$7/1000,IF(Calculator!$E$11='GWP reference values'!$C$8,G68*'GWP reference values'!$D$8/1000,"Error")))</f>
        <v>2.0901660290913695E-2</v>
      </c>
      <c r="I68" s="2">
        <f t="shared" si="11"/>
        <v>20.721068326957582</v>
      </c>
      <c r="J68" s="3">
        <f t="shared" si="12"/>
        <v>55</v>
      </c>
    </row>
    <row r="69" spans="3:10" x14ac:dyDescent="0.25">
      <c r="C69" s="3">
        <v>56</v>
      </c>
      <c r="D69" s="3">
        <f t="shared" si="17"/>
        <v>5.7796000000000003</v>
      </c>
      <c r="E69" s="3">
        <f t="shared" si="18"/>
        <v>21.19186666666667</v>
      </c>
      <c r="F69" s="2">
        <f>(0.334*0.5^((C69+5)/6.31))*'EF Adjustment Table'!I$15</f>
        <v>5.0162272505369218E-4</v>
      </c>
      <c r="G69" s="8">
        <f t="shared" si="19"/>
        <v>0.66883030007158961</v>
      </c>
      <c r="H69" s="2">
        <f>IF(Calculator!$E$11='GWP reference values'!$C$6,G69*'GWP reference values'!$D$6/1000,IF(Calculator!$E$11='GWP reference values'!$C$7,G69*'GWP reference values'!$D$7/1000,IF(Calculator!$E$11='GWP reference values'!$C$8,G69*'GWP reference values'!$D$8/1000,"Error")))</f>
        <v>1.8727248402004508E-2</v>
      </c>
      <c r="I69" s="2">
        <f t="shared" si="11"/>
        <v>21.210593915068674</v>
      </c>
      <c r="J69" s="3">
        <f t="shared" si="12"/>
        <v>56</v>
      </c>
    </row>
    <row r="70" spans="3:10" x14ac:dyDescent="0.25">
      <c r="C70" s="3">
        <v>57</v>
      </c>
      <c r="D70" s="3">
        <f t="shared" si="17"/>
        <v>5.9137000000000004</v>
      </c>
      <c r="E70" s="3">
        <f t="shared" si="18"/>
        <v>21.683566666666668</v>
      </c>
      <c r="F70" s="2">
        <f>(0.334*0.5^((C70+5)/6.31))*'EF Adjustment Table'!I$15</f>
        <v>4.4943862092403401E-4</v>
      </c>
      <c r="G70" s="8">
        <f t="shared" si="19"/>
        <v>0.59925149456537874</v>
      </c>
      <c r="H70" s="2">
        <f>IF(Calculator!$E$11='GWP reference values'!$C$6,G70*'GWP reference values'!$D$6/1000,IF(Calculator!$E$11='GWP reference values'!$C$7,G70*'GWP reference values'!$D$7/1000,IF(Calculator!$E$11='GWP reference values'!$C$8,G70*'GWP reference values'!$D$8/1000,"Error")))</f>
        <v>1.6779041847830606E-2</v>
      </c>
      <c r="I70" s="2">
        <f t="shared" si="11"/>
        <v>21.700345708514497</v>
      </c>
      <c r="J70" s="3">
        <f t="shared" si="12"/>
        <v>57</v>
      </c>
    </row>
    <row r="71" spans="3:10" x14ac:dyDescent="0.25">
      <c r="C71" s="3">
        <v>58</v>
      </c>
      <c r="D71" s="3">
        <f t="shared" si="17"/>
        <v>6.0478000000000005</v>
      </c>
      <c r="E71" s="3">
        <f t="shared" si="18"/>
        <v>22.175266666666666</v>
      </c>
      <c r="F71" s="2">
        <f>(0.334*0.5^((C71+5)/6.31))*'EF Adjustment Table'!I$15</f>
        <v>4.0268325952831809E-4</v>
      </c>
      <c r="G71" s="8">
        <f t="shared" si="19"/>
        <v>0.5369110127044241</v>
      </c>
      <c r="H71" s="2">
        <f>IF(Calculator!$E$11='GWP reference values'!$C$6,G71*'GWP reference values'!$D$6/1000,IF(Calculator!$E$11='GWP reference values'!$C$7,G71*'GWP reference values'!$D$7/1000,IF(Calculator!$E$11='GWP reference values'!$C$8,G71*'GWP reference values'!$D$8/1000,"Error")))</f>
        <v>1.5033508355723875E-2</v>
      </c>
      <c r="I71" s="2">
        <f t="shared" si="11"/>
        <v>22.19030017502239</v>
      </c>
      <c r="J71" s="3">
        <f t="shared" si="12"/>
        <v>58</v>
      </c>
    </row>
    <row r="72" spans="3:10" x14ac:dyDescent="0.25">
      <c r="C72" s="3">
        <v>59</v>
      </c>
      <c r="D72" s="3">
        <f t="shared" si="17"/>
        <v>6.1819000000000006</v>
      </c>
      <c r="E72" s="3">
        <f t="shared" si="18"/>
        <v>22.666966666666667</v>
      </c>
      <c r="F72" s="2">
        <f>(0.334*0.5^((C72+5)/6.31))*'EF Adjustment Table'!I$15</f>
        <v>3.6079188559934246E-4</v>
      </c>
      <c r="G72" s="8">
        <f t="shared" si="19"/>
        <v>0.48105584746578994</v>
      </c>
      <c r="H72" s="2">
        <f>IF(Calculator!$E$11='GWP reference values'!$C$6,G72*'GWP reference values'!$D$6/1000,IF(Calculator!$E$11='GWP reference values'!$C$7,G72*'GWP reference values'!$D$7/1000,IF(Calculator!$E$11='GWP reference values'!$C$8,G72*'GWP reference values'!$D$8/1000,"Error")))</f>
        <v>1.3469563729042119E-2</v>
      </c>
      <c r="I72" s="2">
        <f t="shared" si="11"/>
        <v>22.68043623039571</v>
      </c>
      <c r="J72" s="3">
        <f t="shared" si="12"/>
        <v>59</v>
      </c>
    </row>
    <row r="73" spans="3:10" x14ac:dyDescent="0.25">
      <c r="C73" s="3">
        <v>60</v>
      </c>
      <c r="D73" s="3">
        <f t="shared" si="17"/>
        <v>6.3159999999999989</v>
      </c>
      <c r="E73" s="3">
        <f t="shared" si="18"/>
        <v>23.158666666666662</v>
      </c>
      <c r="F73" s="2">
        <f>(0.334*0.5^((C73+5)/6.31))*'EF Adjustment Table'!I$15</f>
        <v>3.2325849568915421E-4</v>
      </c>
      <c r="G73" s="8">
        <f t="shared" si="19"/>
        <v>0.43101132758553895</v>
      </c>
      <c r="H73" s="2">
        <f>IF(Calculator!$E$11='GWP reference values'!$C$6,G73*'GWP reference values'!$D$6/1000,IF(Calculator!$E$11='GWP reference values'!$C$7,G73*'GWP reference values'!$D$7/1000,IF(Calculator!$E$11='GWP reference values'!$C$8,G73*'GWP reference values'!$D$8/1000,"Error")))</f>
        <v>1.206831717239509E-2</v>
      </c>
      <c r="I73" s="2">
        <f t="shared" si="11"/>
        <v>23.170734983839058</v>
      </c>
      <c r="J73" s="3">
        <f t="shared" si="12"/>
        <v>60</v>
      </c>
    </row>
    <row r="74" spans="3:10" x14ac:dyDescent="0.25">
      <c r="C74" s="3">
        <v>61</v>
      </c>
      <c r="D74" s="3">
        <f t="shared" si="17"/>
        <v>6.4500999999999991</v>
      </c>
      <c r="E74" s="3">
        <f t="shared" si="18"/>
        <v>23.650366666666663</v>
      </c>
      <c r="F74" s="2">
        <f>(0.334*0.5^((C74+5)/6.31))*'EF Adjustment Table'!I$15</f>
        <v>2.8962972618307988E-4</v>
      </c>
      <c r="G74" s="8">
        <f t="shared" si="19"/>
        <v>0.38617296824410646</v>
      </c>
      <c r="H74" s="2">
        <f>IF(Calculator!$E$11='GWP reference values'!$C$6,G74*'GWP reference values'!$D$6/1000,IF(Calculator!$E$11='GWP reference values'!$C$7,G74*'GWP reference values'!$D$7/1000,IF(Calculator!$E$11='GWP reference values'!$C$8,G74*'GWP reference values'!$D$8/1000,"Error")))</f>
        <v>1.0812843110834981E-2</v>
      </c>
      <c r="I74" s="2">
        <f t="shared" si="11"/>
        <v>23.661179509777497</v>
      </c>
      <c r="J74" s="3">
        <f t="shared" si="12"/>
        <v>61</v>
      </c>
    </row>
    <row r="75" spans="3:10" x14ac:dyDescent="0.25">
      <c r="C75" s="3">
        <v>62</v>
      </c>
      <c r="D75" s="3">
        <f t="shared" si="17"/>
        <v>6.5841999999999992</v>
      </c>
      <c r="E75" s="3">
        <f t="shared" si="18"/>
        <v>24.142066666666665</v>
      </c>
      <c r="F75" s="2">
        <f>(0.334*0.5^((C75+5)/6.31))*'EF Adjustment Table'!I$15</f>
        <v>2.5949937714723001E-4</v>
      </c>
      <c r="G75" s="8">
        <f t="shared" si="19"/>
        <v>0.34599916952963999</v>
      </c>
      <c r="H75" s="2">
        <f>IF(Calculator!$E$11='GWP reference values'!$C$6,G75*'GWP reference values'!$D$6/1000,IF(Calculator!$E$11='GWP reference values'!$C$7,G75*'GWP reference values'!$D$7/1000,IF(Calculator!$E$11='GWP reference values'!$C$8,G75*'GWP reference values'!$D$8/1000,"Error")))</f>
        <v>9.68797674682992E-3</v>
      </c>
      <c r="I75" s="2">
        <f t="shared" ref="I75:I113" si="20">SUM(H75,E75)</f>
        <v>24.151754643413494</v>
      </c>
      <c r="J75" s="3">
        <f t="shared" ref="J75:J113" si="21">C75</f>
        <v>62</v>
      </c>
    </row>
    <row r="76" spans="3:10" x14ac:dyDescent="0.25">
      <c r="C76" s="3">
        <v>63</v>
      </c>
      <c r="D76" s="3">
        <f t="shared" si="17"/>
        <v>6.7182999999999993</v>
      </c>
      <c r="E76" s="3">
        <f t="shared" si="18"/>
        <v>24.633766666666663</v>
      </c>
      <c r="F76" s="2">
        <f>(0.334*0.5^((C76+5)/6.31))*'EF Adjustment Table'!I$15</f>
        <v>2.3250350586332232E-4</v>
      </c>
      <c r="G76" s="8">
        <f t="shared" si="19"/>
        <v>0.31000467448442975</v>
      </c>
      <c r="H76" s="2">
        <f>IF(Calculator!$E$11='GWP reference values'!$C$6,G76*'GWP reference values'!$D$6/1000,IF(Calculator!$E$11='GWP reference values'!$C$7,G76*'GWP reference values'!$D$7/1000,IF(Calculator!$E$11='GWP reference values'!$C$8,G76*'GWP reference values'!$D$8/1000,"Error")))</f>
        <v>8.680130885564033E-3</v>
      </c>
      <c r="I76" s="2">
        <f t="shared" si="20"/>
        <v>24.642446797552228</v>
      </c>
      <c r="J76" s="3">
        <f t="shared" si="21"/>
        <v>63</v>
      </c>
    </row>
    <row r="77" spans="3:10" x14ac:dyDescent="0.25">
      <c r="C77" s="3">
        <v>64</v>
      </c>
      <c r="D77" s="3">
        <f t="shared" si="17"/>
        <v>6.8523999999999994</v>
      </c>
      <c r="E77" s="3">
        <f t="shared" si="18"/>
        <v>25.125466666666664</v>
      </c>
      <c r="F77" s="2">
        <f>(0.334*0.5^((C77+5)/6.31))*'EF Adjustment Table'!I$15</f>
        <v>2.0831603078594571E-4</v>
      </c>
      <c r="G77" s="8">
        <f t="shared" si="19"/>
        <v>0.27775470771459426</v>
      </c>
      <c r="H77" s="2">
        <f>IF(Calculator!$E$11='GWP reference values'!$C$6,G77*'GWP reference values'!$D$6/1000,IF(Calculator!$E$11='GWP reference values'!$C$7,G77*'GWP reference values'!$D$7/1000,IF(Calculator!$E$11='GWP reference values'!$C$8,G77*'GWP reference values'!$D$8/1000,"Error")))</f>
        <v>7.7771318160086388E-3</v>
      </c>
      <c r="I77" s="2">
        <f t="shared" si="20"/>
        <v>25.133243798482674</v>
      </c>
      <c r="J77" s="3">
        <f t="shared" si="21"/>
        <v>64</v>
      </c>
    </row>
    <row r="78" spans="3:10" x14ac:dyDescent="0.25">
      <c r="C78" s="3">
        <v>65</v>
      </c>
      <c r="D78" s="3">
        <f t="shared" ref="D78:D102" si="22">0.1341*C78-1.73</f>
        <v>6.9864999999999995</v>
      </c>
      <c r="E78" s="3">
        <f t="shared" ref="E78:E102" si="23">D78/12*44</f>
        <v>25.617166666666666</v>
      </c>
      <c r="F78" s="2">
        <f>(0.334*0.5^((C78+5)/6.31))*'EF Adjustment Table'!I$15</f>
        <v>1.866447928226989E-4</v>
      </c>
      <c r="G78" s="8">
        <f t="shared" ref="G78:G102" si="24">F78*1000*16/12</f>
        <v>0.24885972376359855</v>
      </c>
      <c r="H78" s="2">
        <f>IF(Calculator!$E$11='GWP reference values'!$C$6,G78*'GWP reference values'!$D$6/1000,IF(Calculator!$E$11='GWP reference values'!$C$7,G78*'GWP reference values'!$D$7/1000,IF(Calculator!$E$11='GWP reference values'!$C$8,G78*'GWP reference values'!$D$8/1000,"Error")))</f>
        <v>6.9680722653807595E-3</v>
      </c>
      <c r="I78" s="2">
        <f t="shared" si="20"/>
        <v>25.624134738932046</v>
      </c>
      <c r="J78" s="3">
        <f t="shared" si="21"/>
        <v>65</v>
      </c>
    </row>
    <row r="79" spans="3:10" x14ac:dyDescent="0.25">
      <c r="C79" s="3">
        <v>66</v>
      </c>
      <c r="D79" s="3">
        <f t="shared" si="22"/>
        <v>7.1205999999999996</v>
      </c>
      <c r="E79" s="3">
        <f t="shared" si="23"/>
        <v>26.108866666666664</v>
      </c>
      <c r="F79" s="2">
        <f>(0.334*0.5^((C79+5)/6.31))*'EF Adjustment Table'!I$15</f>
        <v>1.6722802636165882E-4</v>
      </c>
      <c r="G79" s="8">
        <f t="shared" si="24"/>
        <v>0.2229707018155451</v>
      </c>
      <c r="H79" s="2">
        <f>IF(Calculator!$E$11='GWP reference values'!$C$6,G79*'GWP reference values'!$D$6/1000,IF(Calculator!$E$11='GWP reference values'!$C$7,G79*'GWP reference values'!$D$7/1000,IF(Calculator!$E$11='GWP reference values'!$C$8,G79*'GWP reference values'!$D$8/1000,"Error")))</f>
        <v>6.243179650835263E-3</v>
      </c>
      <c r="I79" s="2">
        <f t="shared" si="20"/>
        <v>26.115109846317498</v>
      </c>
      <c r="J79" s="3">
        <f t="shared" si="21"/>
        <v>66</v>
      </c>
    </row>
    <row r="80" spans="3:10" x14ac:dyDescent="0.25">
      <c r="C80" s="3">
        <v>67</v>
      </c>
      <c r="D80" s="3">
        <f t="shared" si="22"/>
        <v>7.2546999999999997</v>
      </c>
      <c r="E80" s="3">
        <f t="shared" si="23"/>
        <v>26.600566666666666</v>
      </c>
      <c r="F80" s="2">
        <f>(0.334*0.5^((C80+5)/6.31))*'EF Adjustment Table'!I$15</f>
        <v>1.4983119741990801E-4</v>
      </c>
      <c r="G80" s="8">
        <f t="shared" si="24"/>
        <v>0.19977492989321069</v>
      </c>
      <c r="H80" s="2">
        <f>IF(Calculator!$E$11='GWP reference values'!$C$6,G80*'GWP reference values'!$D$6/1000,IF(Calculator!$E$11='GWP reference values'!$C$7,G80*'GWP reference values'!$D$7/1000,IF(Calculator!$E$11='GWP reference values'!$C$8,G80*'GWP reference values'!$D$8/1000,"Error")))</f>
        <v>5.5936980370098989E-3</v>
      </c>
      <c r="I80" s="2">
        <f t="shared" si="20"/>
        <v>26.606160364703676</v>
      </c>
      <c r="J80" s="3">
        <f t="shared" si="21"/>
        <v>67</v>
      </c>
    </row>
    <row r="81" spans="3:10" x14ac:dyDescent="0.25">
      <c r="C81" s="3">
        <v>68</v>
      </c>
      <c r="D81" s="3">
        <f t="shared" si="22"/>
        <v>7.3887999999999998</v>
      </c>
      <c r="E81" s="3">
        <f t="shared" si="23"/>
        <v>27.092266666666667</v>
      </c>
      <c r="F81" s="2">
        <f>(0.334*0.5^((C81+5)/6.31))*'EF Adjustment Table'!I$15</f>
        <v>1.3424417072131718E-4</v>
      </c>
      <c r="G81" s="8">
        <f t="shared" si="24"/>
        <v>0.1789922276284229</v>
      </c>
      <c r="H81" s="2">
        <f>IF(Calculator!$E$11='GWP reference values'!$C$6,G81*'GWP reference values'!$D$6/1000,IF(Calculator!$E$11='GWP reference values'!$C$7,G81*'GWP reference values'!$D$7/1000,IF(Calculator!$E$11='GWP reference values'!$C$8,G81*'GWP reference values'!$D$8/1000,"Error")))</f>
        <v>5.011782373595842E-3</v>
      </c>
      <c r="I81" s="2">
        <f t="shared" si="20"/>
        <v>27.097278449040264</v>
      </c>
      <c r="J81" s="3">
        <f t="shared" si="21"/>
        <v>68</v>
      </c>
    </row>
    <row r="82" spans="3:10" x14ac:dyDescent="0.25">
      <c r="C82" s="3">
        <v>69</v>
      </c>
      <c r="D82" s="3">
        <f t="shared" si="22"/>
        <v>7.5228999999999999</v>
      </c>
      <c r="E82" s="3">
        <f t="shared" si="23"/>
        <v>27.583966666666665</v>
      </c>
      <c r="F82" s="2">
        <f>(0.334*0.5^((C82+5)/6.31))*'EF Adjustment Table'!I$15</f>
        <v>1.2027867148487233E-4</v>
      </c>
      <c r="G82" s="8">
        <f t="shared" si="24"/>
        <v>0.16037156197982977</v>
      </c>
      <c r="H82" s="2">
        <f>IF(Calculator!$E$11='GWP reference values'!$C$6,G82*'GWP reference values'!$D$6/1000,IF(Calculator!$E$11='GWP reference values'!$C$7,G82*'GWP reference values'!$D$7/1000,IF(Calculator!$E$11='GWP reference values'!$C$8,G82*'GWP reference values'!$D$8/1000,"Error")))</f>
        <v>4.4904037354352331E-3</v>
      </c>
      <c r="I82" s="2">
        <f t="shared" si="20"/>
        <v>27.5884570704021</v>
      </c>
      <c r="J82" s="3">
        <f t="shared" si="21"/>
        <v>69</v>
      </c>
    </row>
    <row r="83" spans="3:10" x14ac:dyDescent="0.25">
      <c r="C83" s="3">
        <v>70</v>
      </c>
      <c r="D83" s="3">
        <f t="shared" si="22"/>
        <v>7.657</v>
      </c>
      <c r="E83" s="3">
        <f t="shared" si="23"/>
        <v>28.075666666666667</v>
      </c>
      <c r="F83" s="2">
        <f>(0.334*0.5^((C83+5)/6.31))*'EF Adjustment Table'!I$15</f>
        <v>1.0776601126464088E-4</v>
      </c>
      <c r="G83" s="8">
        <f t="shared" si="24"/>
        <v>0.14368801501952119</v>
      </c>
      <c r="H83" s="2">
        <f>IF(Calculator!$E$11='GWP reference values'!$C$6,G83*'GWP reference values'!$D$6/1000,IF(Calculator!$E$11='GWP reference values'!$C$7,G83*'GWP reference values'!$D$7/1000,IF(Calculator!$E$11='GWP reference values'!$C$8,G83*'GWP reference values'!$D$8/1000,"Error")))</f>
        <v>4.0232644205465936E-3</v>
      </c>
      <c r="I83" s="2">
        <f t="shared" si="20"/>
        <v>28.079689931087213</v>
      </c>
      <c r="J83" s="3">
        <f t="shared" si="21"/>
        <v>70</v>
      </c>
    </row>
    <row r="84" spans="3:10" x14ac:dyDescent="0.25">
      <c r="C84" s="3">
        <v>71</v>
      </c>
      <c r="D84" s="3">
        <f t="shared" si="22"/>
        <v>7.7911000000000001</v>
      </c>
      <c r="E84" s="3">
        <f t="shared" si="23"/>
        <v>28.567366666666668</v>
      </c>
      <c r="F84" s="2">
        <f>(0.334*0.5^((C84+5)/6.31))*'EF Adjustment Table'!I$15</f>
        <v>9.65550503719303E-5</v>
      </c>
      <c r="G84" s="8">
        <f t="shared" si="24"/>
        <v>0.12874006716257372</v>
      </c>
      <c r="H84" s="2">
        <f>IF(Calculator!$E$11='GWP reference values'!$C$6,G84*'GWP reference values'!$D$6/1000,IF(Calculator!$E$11='GWP reference values'!$C$7,G84*'GWP reference values'!$D$7/1000,IF(Calculator!$E$11='GWP reference values'!$C$8,G84*'GWP reference values'!$D$8/1000,"Error")))</f>
        <v>3.6047218805520644E-3</v>
      </c>
      <c r="I84" s="2">
        <f t="shared" si="20"/>
        <v>28.570971388547221</v>
      </c>
      <c r="J84" s="3">
        <f t="shared" si="21"/>
        <v>71</v>
      </c>
    </row>
    <row r="85" spans="3:10" x14ac:dyDescent="0.25">
      <c r="C85" s="3">
        <v>72</v>
      </c>
      <c r="D85" s="3">
        <f t="shared" si="22"/>
        <v>7.9252000000000002</v>
      </c>
      <c r="E85" s="3">
        <f t="shared" si="23"/>
        <v>29.059066666666666</v>
      </c>
      <c r="F85" s="2">
        <f>(0.334*0.5^((C85+5)/6.31))*'EF Adjustment Table'!I$15</f>
        <v>8.6510372267855414E-5</v>
      </c>
      <c r="G85" s="8">
        <f t="shared" si="24"/>
        <v>0.11534716302380722</v>
      </c>
      <c r="H85" s="2">
        <f>IF(Calculator!$E$11='GWP reference values'!$C$6,G85*'GWP reference values'!$D$6/1000,IF(Calculator!$E$11='GWP reference values'!$C$7,G85*'GWP reference values'!$D$7/1000,IF(Calculator!$E$11='GWP reference values'!$C$8,G85*'GWP reference values'!$D$8/1000,"Error")))</f>
        <v>3.2297205646666023E-3</v>
      </c>
      <c r="I85" s="2">
        <f t="shared" si="20"/>
        <v>29.062296387231331</v>
      </c>
      <c r="J85" s="3">
        <f t="shared" si="21"/>
        <v>72</v>
      </c>
    </row>
    <row r="86" spans="3:10" x14ac:dyDescent="0.25">
      <c r="C86" s="3">
        <v>73</v>
      </c>
      <c r="D86" s="3">
        <f t="shared" si="22"/>
        <v>8.0592999999999986</v>
      </c>
      <c r="E86" s="3">
        <f t="shared" si="23"/>
        <v>29.550766666666664</v>
      </c>
      <c r="F86" s="2">
        <f>(0.334*0.5^((C86+5)/6.31))*'EF Adjustment Table'!I$15</f>
        <v>7.7510647874910521E-5</v>
      </c>
      <c r="G86" s="8">
        <f t="shared" si="24"/>
        <v>0.1033475304998807</v>
      </c>
      <c r="H86" s="2">
        <f>IF(Calculator!$E$11='GWP reference values'!$C$6,G86*'GWP reference values'!$D$6/1000,IF(Calculator!$E$11='GWP reference values'!$C$7,G86*'GWP reference values'!$D$7/1000,IF(Calculator!$E$11='GWP reference values'!$C$8,G86*'GWP reference values'!$D$8/1000,"Error")))</f>
        <v>2.8937308539966596E-3</v>
      </c>
      <c r="I86" s="2">
        <f t="shared" si="20"/>
        <v>29.553660397520662</v>
      </c>
      <c r="J86" s="3">
        <f t="shared" si="21"/>
        <v>73</v>
      </c>
    </row>
    <row r="87" spans="3:10" x14ac:dyDescent="0.25">
      <c r="C87" s="3">
        <v>74</v>
      </c>
      <c r="D87" s="3">
        <f t="shared" si="22"/>
        <v>8.1933999999999987</v>
      </c>
      <c r="E87" s="3">
        <f t="shared" si="23"/>
        <v>30.042466666666659</v>
      </c>
      <c r="F87" s="2">
        <f>(0.334*0.5^((C87+5)/6.31))*'EF Adjustment Table'!I$15</f>
        <v>6.9447170050159678E-5</v>
      </c>
      <c r="G87" s="8">
        <f t="shared" si="24"/>
        <v>9.2596226733546241E-2</v>
      </c>
      <c r="H87" s="2">
        <f>IF(Calculator!$E$11='GWP reference values'!$C$6,G87*'GWP reference values'!$D$6/1000,IF(Calculator!$E$11='GWP reference values'!$C$7,G87*'GWP reference values'!$D$7/1000,IF(Calculator!$E$11='GWP reference values'!$C$8,G87*'GWP reference values'!$D$8/1000,"Error")))</f>
        <v>2.5926943485392946E-3</v>
      </c>
      <c r="I87" s="2">
        <f t="shared" si="20"/>
        <v>30.045059361015198</v>
      </c>
      <c r="J87" s="3">
        <f t="shared" si="21"/>
        <v>74</v>
      </c>
    </row>
    <row r="88" spans="3:10" x14ac:dyDescent="0.25">
      <c r="C88" s="3">
        <v>75</v>
      </c>
      <c r="D88" s="3">
        <f t="shared" si="22"/>
        <v>8.3274999999999988</v>
      </c>
      <c r="E88" s="3">
        <f t="shared" si="23"/>
        <v>30.534166666666664</v>
      </c>
      <c r="F88" s="2">
        <f>(0.334*0.5^((C88+5)/6.31))*'EF Adjustment Table'!I$15</f>
        <v>6.2222540518035402E-5</v>
      </c>
      <c r="G88" s="8">
        <f t="shared" si="24"/>
        <v>8.2963387357380527E-2</v>
      </c>
      <c r="H88" s="2">
        <f>IF(Calculator!$E$11='GWP reference values'!$C$6,G88*'GWP reference values'!$D$6/1000,IF(Calculator!$E$11='GWP reference values'!$C$7,G88*'GWP reference values'!$D$7/1000,IF(Calculator!$E$11='GWP reference values'!$C$8,G88*'GWP reference values'!$D$8/1000,"Error")))</f>
        <v>2.3229748460066547E-3</v>
      </c>
      <c r="I88" s="2">
        <f t="shared" si="20"/>
        <v>30.53648964151267</v>
      </c>
      <c r="J88" s="3">
        <f t="shared" si="21"/>
        <v>75</v>
      </c>
    </row>
    <row r="89" spans="3:10" x14ac:dyDescent="0.25">
      <c r="C89" s="3">
        <v>76</v>
      </c>
      <c r="D89" s="3">
        <f t="shared" si="22"/>
        <v>8.4615999999999989</v>
      </c>
      <c r="E89" s="3">
        <f t="shared" si="23"/>
        <v>31.025866666666666</v>
      </c>
      <c r="F89" s="2">
        <f>(0.334*0.5^((C89+5)/6.31))*'EF Adjustment Table'!I$15</f>
        <v>5.5749493402282245E-5</v>
      </c>
      <c r="G89" s="8">
        <f t="shared" si="24"/>
        <v>7.4332657869709662E-2</v>
      </c>
      <c r="H89" s="2">
        <f>IF(Calculator!$E$11='GWP reference values'!$C$6,G89*'GWP reference values'!$D$6/1000,IF(Calculator!$E$11='GWP reference values'!$C$7,G89*'GWP reference values'!$D$7/1000,IF(Calculator!$E$11='GWP reference values'!$C$8,G89*'GWP reference values'!$D$8/1000,"Error")))</f>
        <v>2.0813144203518704E-3</v>
      </c>
      <c r="I89" s="2">
        <f t="shared" si="20"/>
        <v>31.027947981087017</v>
      </c>
      <c r="J89" s="3">
        <f t="shared" si="21"/>
        <v>76</v>
      </c>
    </row>
    <row r="90" spans="3:10" x14ac:dyDescent="0.25">
      <c r="C90" s="3">
        <v>77</v>
      </c>
      <c r="D90" s="3">
        <f t="shared" si="22"/>
        <v>8.595699999999999</v>
      </c>
      <c r="E90" s="3">
        <f t="shared" si="23"/>
        <v>31.51756666666666</v>
      </c>
      <c r="F90" s="2">
        <f>(0.334*0.5^((C90+5)/6.31))*'EF Adjustment Table'!I$15</f>
        <v>4.9949841146557706E-5</v>
      </c>
      <c r="G90" s="8">
        <f t="shared" si="24"/>
        <v>6.6599788195410278E-2</v>
      </c>
      <c r="H90" s="2">
        <f>IF(Calculator!$E$11='GWP reference values'!$C$6,G90*'GWP reference values'!$D$6/1000,IF(Calculator!$E$11='GWP reference values'!$C$7,G90*'GWP reference values'!$D$7/1000,IF(Calculator!$E$11='GWP reference values'!$C$8,G90*'GWP reference values'!$D$8/1000,"Error")))</f>
        <v>1.8647940694714877E-3</v>
      </c>
      <c r="I90" s="2">
        <f t="shared" si="20"/>
        <v>31.519431460736133</v>
      </c>
      <c r="J90" s="3">
        <f t="shared" si="21"/>
        <v>77</v>
      </c>
    </row>
    <row r="91" spans="3:10" x14ac:dyDescent="0.25">
      <c r="C91" s="3">
        <v>78</v>
      </c>
      <c r="D91" s="3">
        <f t="shared" si="22"/>
        <v>8.7297999999999991</v>
      </c>
      <c r="E91" s="3">
        <f t="shared" si="23"/>
        <v>32.009266666666662</v>
      </c>
      <c r="F91" s="2">
        <f>(0.334*0.5^((C91+5)/6.31))*'EF Adjustment Table'!I$15</f>
        <v>4.4753530091525623E-5</v>
      </c>
      <c r="G91" s="8">
        <f t="shared" si="24"/>
        <v>5.9671373455367493E-2</v>
      </c>
      <c r="H91" s="2">
        <f>IF(Calculator!$E$11='GWP reference values'!$C$6,G91*'GWP reference values'!$D$6/1000,IF(Calculator!$E$11='GWP reference values'!$C$7,G91*'GWP reference values'!$D$7/1000,IF(Calculator!$E$11='GWP reference values'!$C$8,G91*'GWP reference values'!$D$8/1000,"Error")))</f>
        <v>1.6707984567502897E-3</v>
      </c>
      <c r="I91" s="2">
        <f t="shared" si="20"/>
        <v>32.010937465123412</v>
      </c>
      <c r="J91" s="3">
        <f t="shared" si="21"/>
        <v>78</v>
      </c>
    </row>
    <row r="92" spans="3:10" x14ac:dyDescent="0.25">
      <c r="C92" s="3">
        <v>79</v>
      </c>
      <c r="D92" s="3">
        <f t="shared" si="22"/>
        <v>8.8638999999999992</v>
      </c>
      <c r="E92" s="3">
        <f t="shared" si="23"/>
        <v>32.500966666666663</v>
      </c>
      <c r="F92" s="2">
        <f>(0.334*0.5^((C92+5)/6.31))*'EF Adjustment Table'!I$15</f>
        <v>4.0097794300815678E-5</v>
      </c>
      <c r="G92" s="8">
        <f t="shared" si="24"/>
        <v>5.3463725734420903E-2</v>
      </c>
      <c r="H92" s="2">
        <f>IF(Calculator!$E$11='GWP reference values'!$C$6,G92*'GWP reference values'!$D$6/1000,IF(Calculator!$E$11='GWP reference values'!$C$7,G92*'GWP reference values'!$D$7/1000,IF(Calculator!$E$11='GWP reference values'!$C$8,G92*'GWP reference values'!$D$8/1000,"Error")))</f>
        <v>1.4969843205637852E-3</v>
      </c>
      <c r="I92" s="2">
        <f t="shared" si="20"/>
        <v>32.502463650987224</v>
      </c>
      <c r="J92" s="3">
        <f t="shared" si="21"/>
        <v>79</v>
      </c>
    </row>
    <row r="93" spans="3:10" x14ac:dyDescent="0.25">
      <c r="C93" s="3">
        <v>80</v>
      </c>
      <c r="D93" s="3">
        <f t="shared" si="22"/>
        <v>8.9979999999999993</v>
      </c>
      <c r="E93" s="3">
        <f t="shared" si="23"/>
        <v>32.992666666666665</v>
      </c>
      <c r="F93" s="2">
        <f>(0.334*0.5^((C93+5)/6.31))*'EF Adjustment Table'!I$15</f>
        <v>3.5926397414960059E-5</v>
      </c>
      <c r="G93" s="8">
        <f t="shared" si="24"/>
        <v>4.7901863219946744E-2</v>
      </c>
      <c r="H93" s="2">
        <f>IF(Calculator!$E$11='GWP reference values'!$C$6,G93*'GWP reference values'!$D$6/1000,IF(Calculator!$E$11='GWP reference values'!$C$7,G93*'GWP reference values'!$D$7/1000,IF(Calculator!$E$11='GWP reference values'!$C$8,G93*'GWP reference values'!$D$8/1000,"Error")))</f>
        <v>1.3412521701585091E-3</v>
      </c>
      <c r="I93" s="2">
        <f t="shared" si="20"/>
        <v>32.994007918836822</v>
      </c>
      <c r="J93" s="3">
        <f t="shared" si="21"/>
        <v>80</v>
      </c>
    </row>
    <row r="94" spans="3:10" x14ac:dyDescent="0.25">
      <c r="C94" s="3">
        <v>81</v>
      </c>
      <c r="D94" s="3">
        <f t="shared" si="22"/>
        <v>9.1320999999999994</v>
      </c>
      <c r="E94" s="3">
        <f t="shared" si="23"/>
        <v>33.484366666666666</v>
      </c>
      <c r="F94" s="2">
        <f>(0.334*0.5^((C94+5)/6.31))*'EF Adjustment Table'!I$15</f>
        <v>3.2188953375707079E-5</v>
      </c>
      <c r="G94" s="8">
        <f t="shared" si="24"/>
        <v>4.2918604500942766E-2</v>
      </c>
      <c r="H94" s="2">
        <f>IF(Calculator!$E$11='GWP reference values'!$C$6,G94*'GWP reference values'!$D$6/1000,IF(Calculator!$E$11='GWP reference values'!$C$7,G94*'GWP reference values'!$D$7/1000,IF(Calculator!$E$11='GWP reference values'!$C$8,G94*'GWP reference values'!$D$8/1000,"Error")))</f>
        <v>1.2017209260263974E-3</v>
      </c>
      <c r="I94" s="2">
        <f t="shared" si="20"/>
        <v>33.485568387592693</v>
      </c>
      <c r="J94" s="3">
        <f t="shared" si="21"/>
        <v>81</v>
      </c>
    </row>
    <row r="95" spans="3:10" x14ac:dyDescent="0.25">
      <c r="C95" s="3">
        <v>82</v>
      </c>
      <c r="D95" s="3">
        <f t="shared" si="22"/>
        <v>9.2661999999999995</v>
      </c>
      <c r="E95" s="3">
        <f t="shared" si="23"/>
        <v>33.976066666666668</v>
      </c>
      <c r="F95" s="2">
        <f>(0.334*0.5^((C95+5)/6.31))*'EF Adjustment Table'!I$15</f>
        <v>2.8840317815779463E-5</v>
      </c>
      <c r="G95" s="8">
        <f t="shared" si="24"/>
        <v>3.8453757087705952E-2</v>
      </c>
      <c r="H95" s="2">
        <f>IF(Calculator!$E$11='GWP reference values'!$C$6,G95*'GWP reference values'!$D$6/1000,IF(Calculator!$E$11='GWP reference values'!$C$7,G95*'GWP reference values'!$D$7/1000,IF(Calculator!$E$11='GWP reference values'!$C$8,G95*'GWP reference values'!$D$8/1000,"Error")))</f>
        <v>1.0767051984557666E-3</v>
      </c>
      <c r="I95" s="2">
        <f t="shared" si="20"/>
        <v>33.977143371865125</v>
      </c>
      <c r="J95" s="3">
        <f t="shared" si="21"/>
        <v>82</v>
      </c>
    </row>
    <row r="96" spans="3:10" x14ac:dyDescent="0.25">
      <c r="C96" s="3">
        <v>83</v>
      </c>
      <c r="D96" s="3">
        <f t="shared" si="22"/>
        <v>9.4002999999999997</v>
      </c>
      <c r="E96" s="3">
        <f t="shared" si="23"/>
        <v>34.467766666666662</v>
      </c>
      <c r="F96" s="2">
        <f>(0.334*0.5^((C96+5)/6.31))*'EF Adjustment Table'!I$15</f>
        <v>2.5840042762710531E-5</v>
      </c>
      <c r="G96" s="8">
        <f t="shared" si="24"/>
        <v>3.4453390350280708E-2</v>
      </c>
      <c r="H96" s="2">
        <f>IF(Calculator!$E$11='GWP reference values'!$C$6,G96*'GWP reference values'!$D$6/1000,IF(Calculator!$E$11='GWP reference values'!$C$7,G96*'GWP reference values'!$D$7/1000,IF(Calculator!$E$11='GWP reference values'!$C$8,G96*'GWP reference values'!$D$8/1000,"Error")))</f>
        <v>9.6469492980785971E-4</v>
      </c>
      <c r="I96" s="2">
        <f t="shared" si="20"/>
        <v>34.468731361596468</v>
      </c>
      <c r="J96" s="3">
        <f t="shared" si="21"/>
        <v>83</v>
      </c>
    </row>
    <row r="97" spans="3:10" x14ac:dyDescent="0.25">
      <c r="C97" s="3">
        <v>84</v>
      </c>
      <c r="D97" s="3">
        <f t="shared" si="22"/>
        <v>9.5343999999999998</v>
      </c>
      <c r="E97" s="3">
        <f t="shared" si="23"/>
        <v>34.959466666666664</v>
      </c>
      <c r="F97" s="2">
        <f>(0.334*0.5^((C97+5)/6.31))*'EF Adjustment Table'!I$15</f>
        <v>2.3151888070157965E-5</v>
      </c>
      <c r="G97" s="8">
        <f t="shared" si="24"/>
        <v>3.0869184093543955E-2</v>
      </c>
      <c r="H97" s="2">
        <f>IF(Calculator!$E$11='GWP reference values'!$C$6,G97*'GWP reference values'!$D$6/1000,IF(Calculator!$E$11='GWP reference values'!$C$7,G97*'GWP reference values'!$D$7/1000,IF(Calculator!$E$11='GWP reference values'!$C$8,G97*'GWP reference values'!$D$8/1000,"Error")))</f>
        <v>8.6433715461923079E-4</v>
      </c>
      <c r="I97" s="2">
        <f t="shared" si="20"/>
        <v>34.960331003821281</v>
      </c>
      <c r="J97" s="3">
        <f t="shared" si="21"/>
        <v>84</v>
      </c>
    </row>
    <row r="98" spans="3:10" x14ac:dyDescent="0.25">
      <c r="C98" s="3">
        <v>85</v>
      </c>
      <c r="D98" s="3">
        <f t="shared" si="22"/>
        <v>9.6684999999999999</v>
      </c>
      <c r="E98" s="3">
        <f t="shared" si="23"/>
        <v>35.451166666666666</v>
      </c>
      <c r="F98" s="2">
        <f>(0.334*0.5^((C98+5)/6.31))*'EF Adjustment Table'!I$15</f>
        <v>2.0743383675302254E-5</v>
      </c>
      <c r="G98" s="8">
        <f t="shared" si="24"/>
        <v>2.7657844900403006E-2</v>
      </c>
      <c r="H98" s="2">
        <f>IF(Calculator!$E$11='GWP reference values'!$C$6,G98*'GWP reference values'!$D$6/1000,IF(Calculator!$E$11='GWP reference values'!$C$7,G98*'GWP reference values'!$D$7/1000,IF(Calculator!$E$11='GWP reference values'!$C$8,G98*'GWP reference values'!$D$8/1000,"Error")))</f>
        <v>7.7441965721128413E-4</v>
      </c>
      <c r="I98" s="2">
        <f t="shared" si="20"/>
        <v>35.451941086323878</v>
      </c>
      <c r="J98" s="3">
        <f t="shared" si="21"/>
        <v>85</v>
      </c>
    </row>
    <row r="99" spans="3:10" x14ac:dyDescent="0.25">
      <c r="C99" s="3">
        <v>86</v>
      </c>
      <c r="D99" s="3">
        <f t="shared" si="22"/>
        <v>9.8026</v>
      </c>
      <c r="E99" s="3">
        <f t="shared" si="23"/>
        <v>35.942866666666667</v>
      </c>
      <c r="F99" s="2">
        <f>(0.334*0.5^((C99+5)/6.31))*'EF Adjustment Table'!I$15</f>
        <v>1.8585437394863017E-5</v>
      </c>
      <c r="G99" s="8">
        <f t="shared" si="24"/>
        <v>2.4780583193150688E-2</v>
      </c>
      <c r="H99" s="2">
        <f>IF(Calculator!$E$11='GWP reference values'!$C$6,G99*'GWP reference values'!$D$6/1000,IF(Calculator!$E$11='GWP reference values'!$C$7,G99*'GWP reference values'!$D$7/1000,IF(Calculator!$E$11='GWP reference values'!$C$8,G99*'GWP reference values'!$D$8/1000,"Error")))</f>
        <v>6.9385632940821931E-4</v>
      </c>
      <c r="I99" s="2">
        <f t="shared" si="20"/>
        <v>35.943560522996073</v>
      </c>
      <c r="J99" s="3">
        <f t="shared" si="21"/>
        <v>86</v>
      </c>
    </row>
    <row r="100" spans="3:10" x14ac:dyDescent="0.25">
      <c r="C100" s="3">
        <v>87</v>
      </c>
      <c r="D100" s="3">
        <f t="shared" si="22"/>
        <v>9.9367000000000001</v>
      </c>
      <c r="E100" s="3">
        <f t="shared" si="23"/>
        <v>36.434566666666669</v>
      </c>
      <c r="F100" s="2">
        <f>(0.334*0.5^((C100+5)/6.31))*'EF Adjustment Table'!I$15</f>
        <v>1.6651983522323751E-5</v>
      </c>
      <c r="G100" s="8">
        <f t="shared" si="24"/>
        <v>2.2202644696431666E-2</v>
      </c>
      <c r="H100" s="2">
        <f>IF(Calculator!$E$11='GWP reference values'!$C$6,G100*'GWP reference values'!$D$6/1000,IF(Calculator!$E$11='GWP reference values'!$C$7,G100*'GWP reference values'!$D$7/1000,IF(Calculator!$E$11='GWP reference values'!$C$8,G100*'GWP reference values'!$D$8/1000,"Error")))</f>
        <v>6.2167405150008665E-4</v>
      </c>
      <c r="I100" s="2">
        <f t="shared" si="20"/>
        <v>36.43518834071817</v>
      </c>
      <c r="J100" s="3">
        <f t="shared" si="21"/>
        <v>87</v>
      </c>
    </row>
    <row r="101" spans="3:10" x14ac:dyDescent="0.25">
      <c r="C101" s="3">
        <v>88</v>
      </c>
      <c r="D101" s="3">
        <f t="shared" si="22"/>
        <v>10.070799999999998</v>
      </c>
      <c r="E101" s="3">
        <f t="shared" si="23"/>
        <v>36.926266666666656</v>
      </c>
      <c r="F101" s="2">
        <f>(0.334*0.5^((C101+5)/6.31))*'EF Adjustment Table'!I$15</f>
        <v>1.491966798179223E-5</v>
      </c>
      <c r="G101" s="8">
        <f t="shared" si="24"/>
        <v>1.9892890642389641E-2</v>
      </c>
      <c r="H101" s="2">
        <f>IF(Calculator!$E$11='GWP reference values'!$C$6,G101*'GWP reference values'!$D$6/1000,IF(Calculator!$E$11='GWP reference values'!$C$7,G101*'GWP reference values'!$D$7/1000,IF(Calculator!$E$11='GWP reference values'!$C$8,G101*'GWP reference values'!$D$8/1000,"Error")))</f>
        <v>5.5700093798690992E-4</v>
      </c>
      <c r="I101" s="2">
        <f t="shared" si="20"/>
        <v>36.926823667604644</v>
      </c>
      <c r="J101" s="3">
        <f t="shared" si="21"/>
        <v>88</v>
      </c>
    </row>
    <row r="102" spans="3:10" x14ac:dyDescent="0.25">
      <c r="C102" s="3">
        <v>89</v>
      </c>
      <c r="D102" s="3">
        <f t="shared" si="22"/>
        <v>10.204899999999999</v>
      </c>
      <c r="E102" s="3">
        <f t="shared" si="23"/>
        <v>37.417966666666658</v>
      </c>
      <c r="F102" s="2">
        <f>(0.334*0.5^((C102+5)/6.31))*'EF Adjustment Table'!I$15</f>
        <v>1.33675662354879E-5</v>
      </c>
      <c r="G102" s="8">
        <f t="shared" si="24"/>
        <v>1.7823421647317199E-2</v>
      </c>
      <c r="H102" s="2">
        <f>IF(Calculator!$E$11='GWP reference values'!$C$6,G102*'GWP reference values'!$D$6/1000,IF(Calculator!$E$11='GWP reference values'!$C$7,G102*'GWP reference values'!$D$7/1000,IF(Calculator!$E$11='GWP reference values'!$C$8,G102*'GWP reference values'!$D$8/1000,"Error")))</f>
        <v>4.9905580612488157E-4</v>
      </c>
      <c r="I102" s="2">
        <f t="shared" si="20"/>
        <v>37.418465722472781</v>
      </c>
      <c r="J102" s="3">
        <f t="shared" si="21"/>
        <v>89</v>
      </c>
    </row>
    <row r="103" spans="3:10" x14ac:dyDescent="0.25">
      <c r="C103" s="3">
        <v>90</v>
      </c>
      <c r="D103" s="3">
        <f t="shared" ref="D103:D112" si="25">0.1341*C103-1.73</f>
        <v>10.338999999999999</v>
      </c>
      <c r="E103" s="3">
        <f t="shared" ref="E103:E112" si="26">D103/12*44</f>
        <v>37.909666666666666</v>
      </c>
      <c r="F103" s="2">
        <f>(0.334*0.5^((C103+5)/6.31))*'EF Adjustment Table'!I$15</f>
        <v>1.1976930537477753E-5</v>
      </c>
      <c r="G103" s="8">
        <f t="shared" ref="G103:G112" si="27">F103*1000*16/12</f>
        <v>1.5969240716637002E-2</v>
      </c>
      <c r="H103" s="2">
        <f>IF(Calculator!$E$11='GWP reference values'!$C$6,G103*'GWP reference values'!$D$6/1000,IF(Calculator!$E$11='GWP reference values'!$C$7,G103*'GWP reference values'!$D$7/1000,IF(Calculator!$E$11='GWP reference values'!$C$8,G103*'GWP reference values'!$D$8/1000,"Error")))</f>
        <v>4.4713874006583612E-4</v>
      </c>
      <c r="I103" s="2">
        <f t="shared" si="20"/>
        <v>37.910113805406731</v>
      </c>
      <c r="J103" s="3">
        <f t="shared" si="21"/>
        <v>90</v>
      </c>
    </row>
    <row r="104" spans="3:10" x14ac:dyDescent="0.25">
      <c r="C104" s="3">
        <v>91</v>
      </c>
      <c r="D104" s="3">
        <f t="shared" si="25"/>
        <v>10.473099999999999</v>
      </c>
      <c r="E104" s="3">
        <f t="shared" si="26"/>
        <v>38.401366666666661</v>
      </c>
      <c r="F104" s="2">
        <f>(0.334*0.5^((C104+5)/6.31))*'EF Adjustment Table'!I$15</f>
        <v>1.0730963480752972E-5</v>
      </c>
      <c r="G104" s="8">
        <f t="shared" si="27"/>
        <v>1.430795130767063E-2</v>
      </c>
      <c r="H104" s="2">
        <f>IF(Calculator!$E$11='GWP reference values'!$C$6,G104*'GWP reference values'!$D$6/1000,IF(Calculator!$E$11='GWP reference values'!$C$7,G104*'GWP reference values'!$D$7/1000,IF(Calculator!$E$11='GWP reference values'!$C$8,G104*'GWP reference values'!$D$8/1000,"Error")))</f>
        <v>4.0062263661477766E-4</v>
      </c>
      <c r="I104" s="2">
        <f t="shared" si="20"/>
        <v>38.401767289303272</v>
      </c>
      <c r="J104" s="3">
        <f t="shared" si="21"/>
        <v>91</v>
      </c>
    </row>
    <row r="105" spans="3:10" x14ac:dyDescent="0.25">
      <c r="C105" s="3">
        <v>92</v>
      </c>
      <c r="D105" s="3">
        <f t="shared" si="25"/>
        <v>10.607199999999999</v>
      </c>
      <c r="E105" s="3">
        <f t="shared" si="26"/>
        <v>38.893066666666662</v>
      </c>
      <c r="F105" s="2">
        <f>(0.334*0.5^((C105+5)/6.31))*'EF Adjustment Table'!I$15</f>
        <v>9.6146151023352567E-6</v>
      </c>
      <c r="G105" s="8">
        <f t="shared" si="27"/>
        <v>1.2819486803113676E-2</v>
      </c>
      <c r="H105" s="2">
        <f>IF(Calculator!$E$11='GWP reference values'!$C$6,G105*'GWP reference values'!$D$6/1000,IF(Calculator!$E$11='GWP reference values'!$C$7,G105*'GWP reference values'!$D$7/1000,IF(Calculator!$E$11='GWP reference values'!$C$8,G105*'GWP reference values'!$D$8/1000,"Error")))</f>
        <v>3.5894563048718292E-4</v>
      </c>
      <c r="I105" s="2">
        <f t="shared" si="20"/>
        <v>38.89342561229715</v>
      </c>
      <c r="J105" s="3">
        <f t="shared" si="21"/>
        <v>92</v>
      </c>
    </row>
    <row r="106" spans="3:10" x14ac:dyDescent="0.25">
      <c r="C106" s="3">
        <v>93</v>
      </c>
      <c r="D106" s="3">
        <f t="shared" si="25"/>
        <v>10.741299999999999</v>
      </c>
      <c r="E106" s="3">
        <f t="shared" si="26"/>
        <v>39.384766666666664</v>
      </c>
      <c r="F106" s="2">
        <f>(0.334*0.5^((C106+5)/6.31))*'EF Adjustment Table'!I$15</f>
        <v>8.614401095656943E-6</v>
      </c>
      <c r="G106" s="8">
        <f t="shared" si="27"/>
        <v>1.1485868127542591E-2</v>
      </c>
      <c r="H106" s="2">
        <f>IF(Calculator!$E$11='GWP reference values'!$C$6,G106*'GWP reference values'!$D$6/1000,IF(Calculator!$E$11='GWP reference values'!$C$7,G106*'GWP reference values'!$D$7/1000,IF(Calculator!$E$11='GWP reference values'!$C$8,G106*'GWP reference values'!$D$8/1000,"Error")))</f>
        <v>3.2160430757119249E-4</v>
      </c>
      <c r="I106" s="2">
        <f t="shared" si="20"/>
        <v>39.385088270974236</v>
      </c>
      <c r="J106" s="3">
        <f t="shared" si="21"/>
        <v>93</v>
      </c>
    </row>
    <row r="107" spans="3:10" x14ac:dyDescent="0.25">
      <c r="C107" s="3">
        <v>94</v>
      </c>
      <c r="D107" s="3">
        <f t="shared" si="25"/>
        <v>10.875399999999999</v>
      </c>
      <c r="E107" s="3">
        <f t="shared" si="26"/>
        <v>39.876466666666659</v>
      </c>
      <c r="F107" s="2">
        <f>(0.334*0.5^((C107+5)/6.31))*'EF Adjustment Table'!I$15</f>
        <v>7.7182399344131423E-6</v>
      </c>
      <c r="G107" s="8">
        <f t="shared" si="27"/>
        <v>1.0290986579217523E-2</v>
      </c>
      <c r="H107" s="2">
        <f>IF(Calculator!$E$11='GWP reference values'!$C$6,G107*'GWP reference values'!$D$6/1000,IF(Calculator!$E$11='GWP reference values'!$C$7,G107*'GWP reference values'!$D$7/1000,IF(Calculator!$E$11='GWP reference values'!$C$8,G107*'GWP reference values'!$D$8/1000,"Error")))</f>
        <v>2.8814762421809067E-4</v>
      </c>
      <c r="I107" s="2">
        <f t="shared" si="20"/>
        <v>39.876754814290877</v>
      </c>
      <c r="J107" s="3">
        <f t="shared" si="21"/>
        <v>94</v>
      </c>
    </row>
    <row r="108" spans="3:10" x14ac:dyDescent="0.25">
      <c r="C108" s="3">
        <v>95</v>
      </c>
      <c r="D108" s="3">
        <f t="shared" si="25"/>
        <v>11.009499999999999</v>
      </c>
      <c r="E108" s="3">
        <f t="shared" si="26"/>
        <v>40.368166666666667</v>
      </c>
      <c r="F108" s="2">
        <f>(0.334*0.5^((C108+5)/6.31))*'EF Adjustment Table'!I$15</f>
        <v>6.9153069405142226E-6</v>
      </c>
      <c r="G108" s="8">
        <f t="shared" si="27"/>
        <v>9.2204092540189627E-3</v>
      </c>
      <c r="H108" s="2">
        <f>IF(Calculator!$E$11='GWP reference values'!$C$6,G108*'GWP reference values'!$D$6/1000,IF(Calculator!$E$11='GWP reference values'!$C$7,G108*'GWP reference values'!$D$7/1000,IF(Calculator!$E$11='GWP reference values'!$C$8,G108*'GWP reference values'!$D$8/1000,"Error")))</f>
        <v>2.58171459112531E-4</v>
      </c>
      <c r="I108" s="2">
        <f t="shared" si="20"/>
        <v>40.368424838125783</v>
      </c>
      <c r="J108" s="3">
        <f t="shared" si="21"/>
        <v>95</v>
      </c>
    </row>
    <row r="109" spans="3:10" x14ac:dyDescent="0.25">
      <c r="C109" s="3">
        <v>96</v>
      </c>
      <c r="D109" s="3">
        <f t="shared" si="25"/>
        <v>11.143599999999999</v>
      </c>
      <c r="E109" s="3">
        <f t="shared" si="26"/>
        <v>40.859866666666669</v>
      </c>
      <c r="F109" s="2">
        <f>(0.334*0.5^((C109+5)/6.31))*'EF Adjustment Table'!I$15</f>
        <v>6.1959035334343088E-6</v>
      </c>
      <c r="G109" s="8">
        <f t="shared" si="27"/>
        <v>8.2612047112457457E-3</v>
      </c>
      <c r="H109" s="2">
        <f>IF(Calculator!$E$11='GWP reference values'!$C$6,G109*'GWP reference values'!$D$6/1000,IF(Calculator!$E$11='GWP reference values'!$C$7,G109*'GWP reference values'!$D$7/1000,IF(Calculator!$E$11='GWP reference values'!$C$8,G109*'GWP reference values'!$D$8/1000,"Error")))</f>
        <v>2.3131373191488089E-4</v>
      </c>
      <c r="I109" s="2">
        <f t="shared" si="20"/>
        <v>40.860097980398585</v>
      </c>
      <c r="J109" s="3">
        <f t="shared" si="21"/>
        <v>96</v>
      </c>
    </row>
    <row r="110" spans="3:10" x14ac:dyDescent="0.25">
      <c r="C110" s="3">
        <v>97</v>
      </c>
      <c r="D110" s="3">
        <f t="shared" si="25"/>
        <v>11.277699999999999</v>
      </c>
      <c r="E110" s="3">
        <f t="shared" si="26"/>
        <v>41.351566666666663</v>
      </c>
      <c r="F110" s="2">
        <f>(0.334*0.5^((C110+5)/6.31))*'EF Adjustment Table'!I$15</f>
        <v>5.55134008162609E-6</v>
      </c>
      <c r="G110" s="8">
        <f t="shared" si="27"/>
        <v>7.4017867755014526E-3</v>
      </c>
      <c r="H110" s="2">
        <f>IF(Calculator!$E$11='GWP reference values'!$C$6,G110*'GWP reference values'!$D$6/1000,IF(Calculator!$E$11='GWP reference values'!$C$7,G110*'GWP reference values'!$D$7/1000,IF(Calculator!$E$11='GWP reference values'!$C$8,G110*'GWP reference values'!$D$8/1000,"Error")))</f>
        <v>2.0725002971404066E-4</v>
      </c>
      <c r="I110" s="2">
        <f t="shared" si="20"/>
        <v>41.351773916696381</v>
      </c>
      <c r="J110" s="3">
        <f t="shared" si="21"/>
        <v>97</v>
      </c>
    </row>
    <row r="111" spans="3:10" x14ac:dyDescent="0.25">
      <c r="C111" s="3">
        <v>98</v>
      </c>
      <c r="D111" s="3">
        <f t="shared" si="25"/>
        <v>11.411799999999999</v>
      </c>
      <c r="E111" s="3">
        <f t="shared" si="26"/>
        <v>41.843266666666665</v>
      </c>
      <c r="F111" s="2">
        <f>(0.334*0.5^((C111+5)/6.31))*'EF Adjustment Table'!I$15</f>
        <v>4.9738309409712102E-6</v>
      </c>
      <c r="G111" s="8">
        <f t="shared" si="27"/>
        <v>6.6317745879616134E-3</v>
      </c>
      <c r="H111" s="2">
        <f>IF(Calculator!$E$11='GWP reference values'!$C$6,G111*'GWP reference values'!$D$6/1000,IF(Calculator!$E$11='GWP reference values'!$C$7,G111*'GWP reference values'!$D$7/1000,IF(Calculator!$E$11='GWP reference values'!$C$8,G111*'GWP reference values'!$D$8/1000,"Error")))</f>
        <v>1.8568968846292515E-4</v>
      </c>
      <c r="I111" s="2">
        <f t="shared" si="20"/>
        <v>41.843452356355129</v>
      </c>
      <c r="J111" s="3">
        <f t="shared" si="21"/>
        <v>98</v>
      </c>
    </row>
    <row r="112" spans="3:10" x14ac:dyDescent="0.25">
      <c r="C112" s="3">
        <v>99</v>
      </c>
      <c r="D112" s="3">
        <f t="shared" si="25"/>
        <v>11.5459</v>
      </c>
      <c r="E112" s="3">
        <f t="shared" si="26"/>
        <v>42.334966666666666</v>
      </c>
      <c r="F112" s="2">
        <f>(0.334*0.5^((C112+5)/6.31))*'EF Adjustment Table'!I$15</f>
        <v>4.4564004124416832E-6</v>
      </c>
      <c r="G112" s="8">
        <f t="shared" si="27"/>
        <v>5.9418672165889109E-3</v>
      </c>
      <c r="H112" s="2">
        <f>IF(Calculator!$E$11='GWP reference values'!$C$6,G112*'GWP reference values'!$D$6/1000,IF(Calculator!$E$11='GWP reference values'!$C$7,G112*'GWP reference values'!$D$7/1000,IF(Calculator!$E$11='GWP reference values'!$C$8,G112*'GWP reference values'!$D$8/1000,"Error")))</f>
        <v>1.6637228206448949E-4</v>
      </c>
      <c r="I112" s="2">
        <f t="shared" si="20"/>
        <v>42.335133038948733</v>
      </c>
      <c r="J112" s="3">
        <f t="shared" si="21"/>
        <v>99</v>
      </c>
    </row>
    <row r="113" spans="2:10" x14ac:dyDescent="0.25">
      <c r="B113" s="4"/>
      <c r="C113" s="14">
        <v>100</v>
      </c>
      <c r="D113" s="14">
        <f t="shared" si="0"/>
        <v>11.68</v>
      </c>
      <c r="E113" s="14">
        <f t="shared" si="1"/>
        <v>42.826666666666661</v>
      </c>
      <c r="F113" s="15">
        <f>(0.334*0.5^((C113+5)/6.31))*'EF Adjustment Table'!I$15</f>
        <v>3.9927984830406303E-6</v>
      </c>
      <c r="G113" s="16">
        <f t="shared" si="2"/>
        <v>5.3237313107208405E-3</v>
      </c>
      <c r="H113" s="15">
        <f>IF(Calculator!$E$11='GWP reference values'!$C$6,G113*'GWP reference values'!$D$6/1000,IF(Calculator!$E$11='GWP reference values'!$C$7,G113*'GWP reference values'!$D$7/1000,IF(Calculator!$E$11='GWP reference values'!$C$8,G113*'GWP reference values'!$D$8/1000,"Error")))</f>
        <v>1.4906447670018353E-4</v>
      </c>
      <c r="I113" s="15">
        <f t="shared" si="20"/>
        <v>42.826815731143363</v>
      </c>
      <c r="J113" s="14">
        <f t="shared" si="21"/>
        <v>100</v>
      </c>
    </row>
    <row r="115" spans="2:10" x14ac:dyDescent="0.25">
      <c r="B115" t="s">
        <v>262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J96"/>
  <sheetViews>
    <sheetView workbookViewId="0">
      <selection activeCell="L16" sqref="L16"/>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263</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Table'!$D$16</f>
        <v>33.787539827808288</v>
      </c>
      <c r="D7" s="10">
        <f>0.1341*C7-1.73</f>
        <v>2.8009090909090912</v>
      </c>
      <c r="E7" s="10">
        <f>D7/12*44</f>
        <v>10.270000000000001</v>
      </c>
      <c r="F7" s="11">
        <f>(0.334*0.5^((C7+5)/6.31))*'EF Adjustment Table'!I$16</f>
        <v>7.3807673389032578E-3</v>
      </c>
      <c r="G7" s="12">
        <f>F7*1000*16/12</f>
        <v>9.8410231185376773</v>
      </c>
      <c r="H7" s="74">
        <f>IF(Calculator!$E$11='GWP reference values'!$C$6,G7*'GWP reference values'!$D$6/1000,IF(Calculator!$E$11='GWP reference values'!$C$7,G7*'GWP reference values'!$D$7/1000,IF(Calculator!$E$11='GWP reference values'!$C$8,G7*'GWP reference values'!$D$8/1000,"Error")))</f>
        <v>0.27554864731905498</v>
      </c>
      <c r="I7" s="74">
        <f>SUM(H7,E7)</f>
        <v>10.545548647319057</v>
      </c>
      <c r="J7" s="75">
        <f>C7</f>
        <v>33.787539827808288</v>
      </c>
    </row>
    <row r="8" spans="2:10" x14ac:dyDescent="0.25">
      <c r="B8" s="1" t="s">
        <v>249</v>
      </c>
      <c r="C8" s="3">
        <v>14</v>
      </c>
      <c r="D8" s="3">
        <f t="shared" ref="D8:D94" si="0">0.1341*C8-1.73</f>
        <v>0.14739999999999998</v>
      </c>
      <c r="E8" s="3">
        <f t="shared" ref="E8:E94" si="1">D8/12*44</f>
        <v>0.54046666666666665</v>
      </c>
      <c r="F8" s="2">
        <f>(0.334*0.5^((C8+5)/6.31))*'EF Adjustment Table'!I$16</f>
        <v>6.4878678524844788E-2</v>
      </c>
      <c r="G8" s="8">
        <f t="shared" ref="G8:G94" si="2">F8*1000*16/12</f>
        <v>86.504904699793045</v>
      </c>
      <c r="H8" s="2">
        <f>IF(Calculator!$E$11='GWP reference values'!$C$6,G8*'GWP reference values'!$D$6/1000,IF(Calculator!$E$11='GWP reference values'!$C$7,G8*'GWP reference values'!$D$7/1000,IF(Calculator!$E$11='GWP reference values'!$C$8,G8*'GWP reference values'!$D$8/1000,"Error")))</f>
        <v>2.4221373315942052</v>
      </c>
      <c r="I8" s="2">
        <f>SUM(H8,E8)</f>
        <v>2.9626039982608718</v>
      </c>
      <c r="J8" s="3">
        <f>C8</f>
        <v>14</v>
      </c>
    </row>
    <row r="9" spans="2:10" x14ac:dyDescent="0.25">
      <c r="C9" s="3">
        <v>15</v>
      </c>
      <c r="D9" s="3">
        <f t="shared" ref="D9:D16" si="3">0.1341*C9-1.73</f>
        <v>0.28149999999999986</v>
      </c>
      <c r="E9" s="3">
        <f t="shared" ref="E9:E16" si="4">D9/12*44</f>
        <v>1.032166666666666</v>
      </c>
      <c r="F9" s="2">
        <f>(0.334*0.5^((C9+5)/6.31))*'EF Adjustment Table'!I$16</f>
        <v>5.812931182585266E-2</v>
      </c>
      <c r="G9" s="8">
        <f t="shared" ref="G9:G16" si="5">F9*1000*16/12</f>
        <v>77.505749101136885</v>
      </c>
      <c r="H9" s="2">
        <f>IF(Calculator!$E$11='GWP reference values'!$C$6,G9*'GWP reference values'!$D$6/1000,IF(Calculator!$E$11='GWP reference values'!$C$7,G9*'GWP reference values'!$D$7/1000,IF(Calculator!$E$11='GWP reference values'!$C$8,G9*'GWP reference values'!$D$8/1000,"Error")))</f>
        <v>2.1701609748318327</v>
      </c>
      <c r="I9" s="2">
        <f t="shared" ref="I9:I11" si="6">SUM(H9,E9)</f>
        <v>3.2023276414984987</v>
      </c>
      <c r="J9" s="3">
        <f t="shared" ref="J9:J11" si="7">C9</f>
        <v>15</v>
      </c>
    </row>
    <row r="10" spans="2:10" x14ac:dyDescent="0.25">
      <c r="C10" s="3">
        <v>16</v>
      </c>
      <c r="D10" s="3">
        <f t="shared" si="3"/>
        <v>0.41559999999999997</v>
      </c>
      <c r="E10" s="3">
        <f t="shared" si="4"/>
        <v>1.5238666666666665</v>
      </c>
      <c r="F10" s="2">
        <f>(0.334*0.5^((C10+5)/6.31))*'EF Adjustment Table'!I$16</f>
        <v>5.2082085674005275E-2</v>
      </c>
      <c r="G10" s="8">
        <f t="shared" si="5"/>
        <v>69.442780898673703</v>
      </c>
      <c r="H10" s="2">
        <f>IF(Calculator!$E$11='GWP reference values'!$C$6,G10*'GWP reference values'!$D$6/1000,IF(Calculator!$E$11='GWP reference values'!$C$7,G10*'GWP reference values'!$D$7/1000,IF(Calculator!$E$11='GWP reference values'!$C$8,G10*'GWP reference values'!$D$8/1000,"Error")))</f>
        <v>1.9443978651628635</v>
      </c>
      <c r="I10" s="2">
        <f t="shared" si="6"/>
        <v>3.4682645318295302</v>
      </c>
      <c r="J10" s="3">
        <f t="shared" si="7"/>
        <v>16</v>
      </c>
    </row>
    <row r="11" spans="2:10" x14ac:dyDescent="0.25">
      <c r="C11" s="3">
        <v>17</v>
      </c>
      <c r="D11" s="3">
        <f t="shared" si="3"/>
        <v>0.54970000000000008</v>
      </c>
      <c r="E11" s="3">
        <f t="shared" si="4"/>
        <v>2.015566666666667</v>
      </c>
      <c r="F11" s="2">
        <f>(0.334*0.5^((C11+5)/6.31))*'EF Adjustment Table'!I$16</f>
        <v>4.6663955979400359E-2</v>
      </c>
      <c r="G11" s="8">
        <f t="shared" si="5"/>
        <v>62.21860797253381</v>
      </c>
      <c r="H11" s="2">
        <f>IF(Calculator!$E$11='GWP reference values'!$C$6,G11*'GWP reference values'!$D$6/1000,IF(Calculator!$E$11='GWP reference values'!$C$7,G11*'GWP reference values'!$D$7/1000,IF(Calculator!$E$11='GWP reference values'!$C$8,G11*'GWP reference values'!$D$8/1000,"Error")))</f>
        <v>1.7421210232309468</v>
      </c>
      <c r="I11" s="2">
        <f t="shared" si="6"/>
        <v>3.7576876898976135</v>
      </c>
      <c r="J11" s="3">
        <f t="shared" si="7"/>
        <v>17</v>
      </c>
    </row>
    <row r="12" spans="2:10" x14ac:dyDescent="0.25">
      <c r="C12" s="3">
        <v>18</v>
      </c>
      <c r="D12" s="3">
        <f t="shared" si="3"/>
        <v>0.68380000000000019</v>
      </c>
      <c r="E12" s="3">
        <f t="shared" si="4"/>
        <v>2.5072666666666676</v>
      </c>
      <c r="F12" s="2">
        <f>(0.334*0.5^((C12+5)/6.31))*'EF Adjustment Table'!I$16</f>
        <v>4.1809477471334087E-2</v>
      </c>
      <c r="G12" s="8">
        <f t="shared" si="5"/>
        <v>55.745969961778776</v>
      </c>
      <c r="H12" s="2">
        <f>IF(Calculator!$E$11='GWP reference values'!$C$6,G12*'GWP reference values'!$D$6/1000,IF(Calculator!$E$11='GWP reference values'!$C$7,G12*'GWP reference values'!$D$7/1000,IF(Calculator!$E$11='GWP reference values'!$C$8,G12*'GWP reference values'!$D$8/1000,"Error")))</f>
        <v>1.5608871589298057</v>
      </c>
      <c r="I12" s="2">
        <f t="shared" ref="I12:I74" si="8">SUM(H12,E12)</f>
        <v>4.0681538255964735</v>
      </c>
      <c r="J12" s="3">
        <f t="shared" ref="J12:J74" si="9">C12</f>
        <v>18</v>
      </c>
    </row>
    <row r="13" spans="2:10" x14ac:dyDescent="0.25">
      <c r="C13" s="3">
        <v>19</v>
      </c>
      <c r="D13" s="3">
        <f t="shared" si="3"/>
        <v>0.81789999999999985</v>
      </c>
      <c r="E13" s="3">
        <f t="shared" si="4"/>
        <v>2.9989666666666661</v>
      </c>
      <c r="F13" s="2">
        <f>(0.334*0.5^((C13+5)/6.31))*'EF Adjustment Table'!I$16</f>
        <v>3.7460013188715828E-2</v>
      </c>
      <c r="G13" s="8">
        <f t="shared" si="5"/>
        <v>49.9466842516211</v>
      </c>
      <c r="H13" s="2">
        <f>IF(Calculator!$E$11='GWP reference values'!$C$6,G13*'GWP reference values'!$D$6/1000,IF(Calculator!$E$11='GWP reference values'!$C$7,G13*'GWP reference values'!$D$7/1000,IF(Calculator!$E$11='GWP reference values'!$C$8,G13*'GWP reference values'!$D$8/1000,"Error")))</f>
        <v>1.3985071590453908</v>
      </c>
      <c r="I13" s="2">
        <f t="shared" si="8"/>
        <v>4.3974738257120567</v>
      </c>
      <c r="J13" s="3">
        <f t="shared" si="9"/>
        <v>19</v>
      </c>
    </row>
    <row r="14" spans="2:10" x14ac:dyDescent="0.25">
      <c r="C14" s="3">
        <v>20</v>
      </c>
      <c r="D14" s="3">
        <f t="shared" si="3"/>
        <v>0.95199999999999996</v>
      </c>
      <c r="E14" s="3">
        <f t="shared" si="4"/>
        <v>3.4906666666666664</v>
      </c>
      <c r="F14" s="2">
        <f>(0.334*0.5^((C14+5)/6.31))*'EF Adjustment Table'!I$16</f>
        <v>3.3563026207655396E-2</v>
      </c>
      <c r="G14" s="8">
        <f t="shared" si="5"/>
        <v>44.750701610207194</v>
      </c>
      <c r="H14" s="2">
        <f>IF(Calculator!$E$11='GWP reference values'!$C$6,G14*'GWP reference values'!$D$6/1000,IF(Calculator!$E$11='GWP reference values'!$C$7,G14*'GWP reference values'!$D$7/1000,IF(Calculator!$E$11='GWP reference values'!$C$8,G14*'GWP reference values'!$D$8/1000,"Error")))</f>
        <v>1.2530196450858013</v>
      </c>
      <c r="I14" s="2">
        <f t="shared" si="8"/>
        <v>4.7436863117524677</v>
      </c>
      <c r="J14" s="3">
        <f t="shared" si="9"/>
        <v>20</v>
      </c>
    </row>
    <row r="15" spans="2:10" x14ac:dyDescent="0.25">
      <c r="C15" s="3">
        <v>21</v>
      </c>
      <c r="D15" s="3">
        <f t="shared" si="3"/>
        <v>1.0861000000000001</v>
      </c>
      <c r="E15" s="3">
        <f t="shared" si="4"/>
        <v>3.9823666666666671</v>
      </c>
      <c r="F15" s="2">
        <f>(0.334*0.5^((C15+5)/6.31))*'EF Adjustment Table'!I$16</f>
        <v>3.0071445051041635E-2</v>
      </c>
      <c r="G15" s="8">
        <f t="shared" si="5"/>
        <v>40.095260068055516</v>
      </c>
      <c r="H15" s="2">
        <f>IF(Calculator!$E$11='GWP reference values'!$C$6,G15*'GWP reference values'!$D$6/1000,IF(Calculator!$E$11='GWP reference values'!$C$7,G15*'GWP reference values'!$D$7/1000,IF(Calculator!$E$11='GWP reference values'!$C$8,G15*'GWP reference values'!$D$8/1000,"Error")))</f>
        <v>1.1226672819055545</v>
      </c>
      <c r="I15" s="2">
        <f t="shared" si="8"/>
        <v>5.1050339485722214</v>
      </c>
      <c r="J15" s="3">
        <f t="shared" si="9"/>
        <v>21</v>
      </c>
    </row>
    <row r="16" spans="2:10" x14ac:dyDescent="0.25">
      <c r="C16" s="3">
        <v>22</v>
      </c>
      <c r="D16" s="3">
        <f t="shared" si="3"/>
        <v>1.2201999999999997</v>
      </c>
      <c r="E16" s="3">
        <f t="shared" si="4"/>
        <v>4.4740666666666655</v>
      </c>
      <c r="F16" s="2">
        <f>(0.334*0.5^((C16+5)/6.31))*'EF Adjustment Table'!I$16</f>
        <v>2.6943095114932047E-2</v>
      </c>
      <c r="G16" s="8">
        <f t="shared" si="5"/>
        <v>35.924126819909397</v>
      </c>
      <c r="H16" s="2">
        <f>IF(Calculator!$E$11='GWP reference values'!$C$6,G16*'GWP reference values'!$D$6/1000,IF(Calculator!$E$11='GWP reference values'!$C$7,G16*'GWP reference values'!$D$7/1000,IF(Calculator!$E$11='GWP reference values'!$C$8,G16*'GWP reference values'!$D$8/1000,"Error")))</f>
        <v>1.0058755509574631</v>
      </c>
      <c r="I16" s="2">
        <f t="shared" si="8"/>
        <v>5.4799422176241288</v>
      </c>
      <c r="J16" s="3">
        <f t="shared" si="9"/>
        <v>22</v>
      </c>
    </row>
    <row r="17" spans="2:10" x14ac:dyDescent="0.25">
      <c r="B17" s="1"/>
      <c r="C17" s="3">
        <v>23</v>
      </c>
      <c r="D17" s="3">
        <f t="shared" ref="D17:D19" si="10">0.1341*C17-1.73</f>
        <v>1.3542999999999998</v>
      </c>
      <c r="E17" s="3">
        <f t="shared" ref="E17:E19" si="11">D17/12*44</f>
        <v>4.9657666666666662</v>
      </c>
      <c r="F17" s="2">
        <f>(0.334*0.5^((C17+5)/6.31))*'EF Adjustment Table'!I$16</f>
        <v>2.4140189243986129E-2</v>
      </c>
      <c r="G17" s="8">
        <f t="shared" ref="G17:G19" si="12">F17*1000*16/12</f>
        <v>32.186918991981507</v>
      </c>
      <c r="H17" s="2">
        <f>IF(Calculator!$E$11='GWP reference values'!$C$6,G17*'GWP reference values'!$D$6/1000,IF(Calculator!$E$11='GWP reference values'!$C$7,G17*'GWP reference values'!$D$7/1000,IF(Calculator!$E$11='GWP reference values'!$C$8,G17*'GWP reference values'!$D$8/1000,"Error")))</f>
        <v>0.90123373177548216</v>
      </c>
      <c r="I17" s="2">
        <f t="shared" si="8"/>
        <v>5.8670003984421486</v>
      </c>
      <c r="J17" s="3">
        <f t="shared" si="9"/>
        <v>23</v>
      </c>
    </row>
    <row r="18" spans="2:10" x14ac:dyDescent="0.25">
      <c r="C18" s="3">
        <v>24</v>
      </c>
      <c r="D18" s="3">
        <f t="shared" si="10"/>
        <v>1.4883999999999999</v>
      </c>
      <c r="E18" s="3">
        <f t="shared" si="11"/>
        <v>5.4574666666666669</v>
      </c>
      <c r="F18" s="2">
        <f>(0.334*0.5^((C18+5)/6.31))*'EF Adjustment Table'!I$16</f>
        <v>2.1628871302632947E-2</v>
      </c>
      <c r="G18" s="8">
        <f t="shared" si="12"/>
        <v>28.838495070177263</v>
      </c>
      <c r="H18" s="2">
        <f>IF(Calculator!$E$11='GWP reference values'!$C$6,G18*'GWP reference values'!$D$6/1000,IF(Calculator!$E$11='GWP reference values'!$C$7,G18*'GWP reference values'!$D$7/1000,IF(Calculator!$E$11='GWP reference values'!$C$8,G18*'GWP reference values'!$D$8/1000,"Error")))</f>
        <v>0.80747786196496341</v>
      </c>
      <c r="I18" s="2">
        <f t="shared" si="8"/>
        <v>6.2649445286316308</v>
      </c>
      <c r="J18" s="3">
        <f t="shared" si="9"/>
        <v>24</v>
      </c>
    </row>
    <row r="19" spans="2:10" x14ac:dyDescent="0.25">
      <c r="C19" s="3">
        <v>25</v>
      </c>
      <c r="D19" s="3">
        <f t="shared" si="10"/>
        <v>1.6225000000000001</v>
      </c>
      <c r="E19" s="3">
        <f t="shared" si="11"/>
        <v>5.9491666666666676</v>
      </c>
      <c r="F19" s="2">
        <f>(0.334*0.5^((C19+5)/6.31))*'EF Adjustment Table'!I$16</f>
        <v>1.9378807228795879E-2</v>
      </c>
      <c r="G19" s="8">
        <f t="shared" si="12"/>
        <v>25.838409638394506</v>
      </c>
      <c r="H19" s="2">
        <f>IF(Calculator!$E$11='GWP reference values'!$C$6,G19*'GWP reference values'!$D$6/1000,IF(Calculator!$E$11='GWP reference values'!$C$7,G19*'GWP reference values'!$D$7/1000,IF(Calculator!$E$11='GWP reference values'!$C$8,G19*'GWP reference values'!$D$8/1000,"Error")))</f>
        <v>0.72347546987504618</v>
      </c>
      <c r="I19" s="2">
        <f t="shared" si="8"/>
        <v>6.6726421365417137</v>
      </c>
      <c r="J19" s="3">
        <f t="shared" si="9"/>
        <v>25</v>
      </c>
    </row>
    <row r="20" spans="2:10" x14ac:dyDescent="0.25">
      <c r="C20" s="3">
        <v>26</v>
      </c>
      <c r="D20" s="3">
        <f t="shared" si="0"/>
        <v>1.7566000000000002</v>
      </c>
      <c r="E20" s="3">
        <f t="shared" si="1"/>
        <v>6.4408666666666665</v>
      </c>
      <c r="F20" s="2">
        <f>(0.334*0.5^((C20+5)/6.31))*'EF Adjustment Table'!I$16</f>
        <v>1.7362818630536479E-2</v>
      </c>
      <c r="G20" s="8">
        <f t="shared" si="2"/>
        <v>23.150424840715306</v>
      </c>
      <c r="H20" s="2">
        <f>IF(Calculator!$E$11='GWP reference values'!$C$6,G20*'GWP reference values'!$D$6/1000,IF(Calculator!$E$11='GWP reference values'!$C$7,G20*'GWP reference values'!$D$7/1000,IF(Calculator!$E$11='GWP reference values'!$C$8,G20*'GWP reference values'!$D$8/1000,"Error")))</f>
        <v>0.64821189554002856</v>
      </c>
      <c r="I20" s="2">
        <f t="shared" si="8"/>
        <v>7.0890785622066952</v>
      </c>
      <c r="J20" s="3">
        <f t="shared" si="9"/>
        <v>26</v>
      </c>
    </row>
    <row r="21" spans="2:10" x14ac:dyDescent="0.25">
      <c r="C21" s="3">
        <v>27</v>
      </c>
      <c r="D21" s="3">
        <f t="shared" si="0"/>
        <v>1.8906999999999998</v>
      </c>
      <c r="E21" s="3">
        <f t="shared" si="1"/>
        <v>6.9325666666666663</v>
      </c>
      <c r="F21" s="2">
        <f>(0.334*0.5^((C21+5)/6.31))*'EF Adjustment Table'!I$16</f>
        <v>1.5556554499852821E-2</v>
      </c>
      <c r="G21" s="8">
        <f t="shared" si="2"/>
        <v>20.742072666470428</v>
      </c>
      <c r="H21" s="2">
        <f>IF(Calculator!$E$11='GWP reference values'!$C$6,G21*'GWP reference values'!$D$6/1000,IF(Calculator!$E$11='GWP reference values'!$C$7,G21*'GWP reference values'!$D$7/1000,IF(Calculator!$E$11='GWP reference values'!$C$8,G21*'GWP reference values'!$D$8/1000,"Error")))</f>
        <v>0.58077803466117195</v>
      </c>
      <c r="I21" s="2">
        <f t="shared" si="8"/>
        <v>7.5133447013278385</v>
      </c>
      <c r="J21" s="3">
        <f t="shared" si="9"/>
        <v>27</v>
      </c>
    </row>
    <row r="22" spans="2:10" x14ac:dyDescent="0.25">
      <c r="C22" s="3">
        <v>28</v>
      </c>
      <c r="D22" s="3">
        <f t="shared" si="0"/>
        <v>2.0247999999999999</v>
      </c>
      <c r="E22" s="3">
        <f t="shared" si="1"/>
        <v>7.4242666666666661</v>
      </c>
      <c r="F22" s="2">
        <f>(0.334*0.5^((C22+5)/6.31))*'EF Adjustment Table'!I$16</f>
        <v>1.3938197078282418E-2</v>
      </c>
      <c r="G22" s="8">
        <f t="shared" si="2"/>
        <v>18.584262771043225</v>
      </c>
      <c r="H22" s="2">
        <f>IF(Calculator!$E$11='GWP reference values'!$C$6,G22*'GWP reference values'!$D$6/1000,IF(Calculator!$E$11='GWP reference values'!$C$7,G22*'GWP reference values'!$D$7/1000,IF(Calculator!$E$11='GWP reference values'!$C$8,G22*'GWP reference values'!$D$8/1000,"Error")))</f>
        <v>0.52035935758921026</v>
      </c>
      <c r="I22" s="2">
        <f t="shared" si="8"/>
        <v>7.9446260242558768</v>
      </c>
      <c r="J22" s="3">
        <f t="shared" si="9"/>
        <v>28</v>
      </c>
    </row>
    <row r="23" spans="2:10" x14ac:dyDescent="0.25">
      <c r="C23" s="3">
        <v>29</v>
      </c>
      <c r="D23" s="3">
        <f t="shared" si="0"/>
        <v>2.1589</v>
      </c>
      <c r="E23" s="3">
        <f t="shared" si="1"/>
        <v>7.9159666666666668</v>
      </c>
      <c r="F23" s="2">
        <f>(0.334*0.5^((C23+5)/6.31))*'EF Adjustment Table'!I$16</f>
        <v>1.2488198321477838E-2</v>
      </c>
      <c r="G23" s="8">
        <f t="shared" si="2"/>
        <v>16.650931095303786</v>
      </c>
      <c r="H23" s="2">
        <f>IF(Calculator!$E$11='GWP reference values'!$C$6,G23*'GWP reference values'!$D$6/1000,IF(Calculator!$E$11='GWP reference values'!$C$7,G23*'GWP reference values'!$D$7/1000,IF(Calculator!$E$11='GWP reference values'!$C$8,G23*'GWP reference values'!$D$8/1000,"Error")))</f>
        <v>0.46622607066850602</v>
      </c>
      <c r="I23" s="2">
        <f t="shared" si="8"/>
        <v>8.3821927373351723</v>
      </c>
      <c r="J23" s="3">
        <f t="shared" si="9"/>
        <v>29</v>
      </c>
    </row>
    <row r="24" spans="2:10" x14ac:dyDescent="0.25">
      <c r="C24" s="3">
        <v>30</v>
      </c>
      <c r="D24" s="3">
        <f t="shared" ref="D24:D87" si="13">0.1341*C24-1.73</f>
        <v>2.2929999999999997</v>
      </c>
      <c r="E24" s="3">
        <f t="shared" ref="E24:E87" si="14">D24/12*44</f>
        <v>8.4076666666666657</v>
      </c>
      <c r="F24" s="2">
        <f>(0.334*0.5^((C24+5)/6.31))*'EF Adjustment Table'!I$16</f>
        <v>1.1189043779525893E-2</v>
      </c>
      <c r="G24" s="8">
        <f t="shared" ref="G24:G87" si="15">F24*1000*16/12</f>
        <v>14.918725039367857</v>
      </c>
      <c r="H24" s="2">
        <f>IF(Calculator!$E$11='GWP reference values'!$C$6,G24*'GWP reference values'!$D$6/1000,IF(Calculator!$E$11='GWP reference values'!$C$7,G24*'GWP reference values'!$D$7/1000,IF(Calculator!$E$11='GWP reference values'!$C$8,G24*'GWP reference values'!$D$8/1000,"Error")))</f>
        <v>0.41772430110229997</v>
      </c>
      <c r="I24" s="2">
        <f t="shared" si="8"/>
        <v>8.8253909677689659</v>
      </c>
      <c r="J24" s="3">
        <f t="shared" si="9"/>
        <v>30</v>
      </c>
    </row>
    <row r="25" spans="2:10" x14ac:dyDescent="0.25">
      <c r="C25" s="3">
        <v>31</v>
      </c>
      <c r="D25" s="3">
        <f t="shared" si="13"/>
        <v>2.4270999999999998</v>
      </c>
      <c r="E25" s="3">
        <f t="shared" si="14"/>
        <v>8.8993666666666655</v>
      </c>
      <c r="F25" s="2">
        <f>(0.334*0.5^((C25+5)/6.31))*'EF Adjustment Table'!I$16</f>
        <v>1.0025041040934695E-2</v>
      </c>
      <c r="G25" s="8">
        <f t="shared" si="15"/>
        <v>13.366721387912927</v>
      </c>
      <c r="H25" s="2">
        <f>IF(Calculator!$E$11='GWP reference values'!$C$6,G25*'GWP reference values'!$D$6/1000,IF(Calculator!$E$11='GWP reference values'!$C$7,G25*'GWP reference values'!$D$7/1000,IF(Calculator!$E$11='GWP reference values'!$C$8,G25*'GWP reference values'!$D$8/1000,"Error")))</f>
        <v>0.37426819886156193</v>
      </c>
      <c r="I25" s="2">
        <f t="shared" si="8"/>
        <v>9.2736348655282281</v>
      </c>
      <c r="J25" s="3">
        <f t="shared" si="9"/>
        <v>31</v>
      </c>
    </row>
    <row r="26" spans="2:10" x14ac:dyDescent="0.25">
      <c r="C26" s="3">
        <v>32</v>
      </c>
      <c r="D26" s="3">
        <f t="shared" si="13"/>
        <v>2.5611999999999999</v>
      </c>
      <c r="E26" s="3">
        <f t="shared" si="14"/>
        <v>9.3910666666666671</v>
      </c>
      <c r="F26" s="2">
        <f>(0.334*0.5^((C26+5)/6.31))*'EF Adjustment Table'!I$16</f>
        <v>8.9821301849158999E-3</v>
      </c>
      <c r="G26" s="8">
        <f t="shared" si="15"/>
        <v>11.976173579887865</v>
      </c>
      <c r="H26" s="2">
        <f>IF(Calculator!$E$11='GWP reference values'!$C$6,G26*'GWP reference values'!$D$6/1000,IF(Calculator!$E$11='GWP reference values'!$C$7,G26*'GWP reference values'!$D$7/1000,IF(Calculator!$E$11='GWP reference values'!$C$8,G26*'GWP reference values'!$D$8/1000,"Error")))</f>
        <v>0.33533286023686021</v>
      </c>
      <c r="I26" s="2">
        <f t="shared" si="8"/>
        <v>9.7263995269035277</v>
      </c>
      <c r="J26" s="3">
        <f t="shared" si="9"/>
        <v>32</v>
      </c>
    </row>
    <row r="27" spans="2:10" x14ac:dyDescent="0.25">
      <c r="C27" s="3">
        <v>33</v>
      </c>
      <c r="D27" s="3">
        <f t="shared" si="13"/>
        <v>2.6953</v>
      </c>
      <c r="E27" s="3">
        <f t="shared" si="14"/>
        <v>9.8827666666666669</v>
      </c>
      <c r="F27" s="2">
        <f>(0.334*0.5^((C27+5)/6.31))*'EF Adjustment Table'!I$16</f>
        <v>8.0477139524263927E-3</v>
      </c>
      <c r="G27" s="8">
        <f t="shared" si="15"/>
        <v>10.730285269901856</v>
      </c>
      <c r="H27" s="2">
        <f>IF(Calculator!$E$11='GWP reference values'!$C$6,G27*'GWP reference values'!$D$6/1000,IF(Calculator!$E$11='GWP reference values'!$C$7,G27*'GWP reference values'!$D$7/1000,IF(Calculator!$E$11='GWP reference values'!$C$8,G27*'GWP reference values'!$D$8/1000,"Error")))</f>
        <v>0.30044798755725194</v>
      </c>
      <c r="I27" s="2">
        <f t="shared" si="8"/>
        <v>10.183214654223919</v>
      </c>
      <c r="J27" s="3">
        <f t="shared" si="9"/>
        <v>33</v>
      </c>
    </row>
    <row r="28" spans="2:10" x14ac:dyDescent="0.25">
      <c r="C28" s="3">
        <v>34</v>
      </c>
      <c r="D28" s="3">
        <f t="shared" si="13"/>
        <v>2.8294000000000001</v>
      </c>
      <c r="E28" s="3">
        <f t="shared" si="14"/>
        <v>10.374466666666667</v>
      </c>
      <c r="F28" s="2">
        <f>(0.334*0.5^((C28+5)/6.31))*'EF Adjustment Table'!I$16</f>
        <v>7.2105055846153707E-3</v>
      </c>
      <c r="G28" s="8">
        <f t="shared" si="15"/>
        <v>9.6140074461538276</v>
      </c>
      <c r="H28" s="2">
        <f>IF(Calculator!$E$11='GWP reference values'!$C$6,G28*'GWP reference values'!$D$6/1000,IF(Calculator!$E$11='GWP reference values'!$C$7,G28*'GWP reference values'!$D$7/1000,IF(Calculator!$E$11='GWP reference values'!$C$8,G28*'GWP reference values'!$D$8/1000,"Error")))</f>
        <v>0.26919220849230713</v>
      </c>
      <c r="I28" s="2">
        <f t="shared" si="8"/>
        <v>10.643658875158973</v>
      </c>
      <c r="J28" s="3">
        <f t="shared" si="9"/>
        <v>34</v>
      </c>
    </row>
    <row r="29" spans="2:10" x14ac:dyDescent="0.25">
      <c r="C29" s="3">
        <v>35</v>
      </c>
      <c r="D29" s="3">
        <f t="shared" si="13"/>
        <v>2.9635000000000002</v>
      </c>
      <c r="E29" s="3">
        <f t="shared" si="14"/>
        <v>10.866166666666668</v>
      </c>
      <c r="F29" s="2">
        <f>(0.334*0.5^((C29+5)/6.31))*'EF Adjustment Table'!I$16</f>
        <v>6.4603924907263932E-3</v>
      </c>
      <c r="G29" s="8">
        <f t="shared" si="15"/>
        <v>8.6138566543018573</v>
      </c>
      <c r="H29" s="2">
        <f>IF(Calculator!$E$11='GWP reference values'!$C$6,G29*'GWP reference values'!$D$6/1000,IF(Calculator!$E$11='GWP reference values'!$C$7,G29*'GWP reference values'!$D$7/1000,IF(Calculator!$E$11='GWP reference values'!$C$8,G29*'GWP reference values'!$D$8/1000,"Error")))</f>
        <v>0.24118798632045202</v>
      </c>
      <c r="I29" s="2">
        <f t="shared" si="8"/>
        <v>11.107354652987119</v>
      </c>
      <c r="J29" s="3">
        <f t="shared" si="9"/>
        <v>35</v>
      </c>
    </row>
    <row r="30" spans="2:10" x14ac:dyDescent="0.25">
      <c r="C30" s="3">
        <v>36</v>
      </c>
      <c r="D30" s="3">
        <f t="shared" si="13"/>
        <v>3.0976000000000004</v>
      </c>
      <c r="E30" s="3">
        <f t="shared" si="14"/>
        <v>11.357866666666668</v>
      </c>
      <c r="F30" s="2">
        <f>(0.334*0.5^((C30+5)/6.31))*'EF Adjustment Table'!I$16</f>
        <v>5.7883140987068926E-3</v>
      </c>
      <c r="G30" s="8">
        <f t="shared" si="15"/>
        <v>7.717752131609191</v>
      </c>
      <c r="H30" s="2">
        <f>IF(Calculator!$E$11='GWP reference values'!$C$6,G30*'GWP reference values'!$D$6/1000,IF(Calculator!$E$11='GWP reference values'!$C$7,G30*'GWP reference values'!$D$7/1000,IF(Calculator!$E$11='GWP reference values'!$C$8,G30*'GWP reference values'!$D$8/1000,"Error")))</f>
        <v>0.21609705968505735</v>
      </c>
      <c r="I30" s="2">
        <f t="shared" si="8"/>
        <v>11.573963726351726</v>
      </c>
      <c r="J30" s="3">
        <f t="shared" si="9"/>
        <v>36</v>
      </c>
    </row>
    <row r="31" spans="2:10" x14ac:dyDescent="0.25">
      <c r="C31" s="3">
        <v>37</v>
      </c>
      <c r="D31" s="3">
        <f t="shared" si="13"/>
        <v>3.2316999999999996</v>
      </c>
      <c r="E31" s="3">
        <f t="shared" si="14"/>
        <v>11.849566666666666</v>
      </c>
      <c r="F31" s="2">
        <f>(0.334*0.5^((C31+5)/6.31))*'EF Adjustment Table'!I$16</f>
        <v>5.1861524130899714E-3</v>
      </c>
      <c r="G31" s="8">
        <f t="shared" si="15"/>
        <v>6.9148698841199616</v>
      </c>
      <c r="H31" s="2">
        <f>IF(Calculator!$E$11='GWP reference values'!$C$6,G31*'GWP reference values'!$D$6/1000,IF(Calculator!$E$11='GWP reference values'!$C$7,G31*'GWP reference values'!$D$7/1000,IF(Calculator!$E$11='GWP reference values'!$C$8,G31*'GWP reference values'!$D$8/1000,"Error")))</f>
        <v>0.19361635675535893</v>
      </c>
      <c r="I31" s="2">
        <f t="shared" si="8"/>
        <v>12.043183023422024</v>
      </c>
      <c r="J31" s="3">
        <f t="shared" si="9"/>
        <v>37</v>
      </c>
    </row>
    <row r="32" spans="2:10" x14ac:dyDescent="0.25">
      <c r="C32" s="3">
        <v>38</v>
      </c>
      <c r="D32" s="3">
        <f t="shared" si="13"/>
        <v>3.3657999999999997</v>
      </c>
      <c r="E32" s="3">
        <f t="shared" si="14"/>
        <v>12.341266666666666</v>
      </c>
      <c r="F32" s="2">
        <f>(0.334*0.5^((C32+5)/6.31))*'EF Adjustment Table'!I$16</f>
        <v>4.646633958203388E-3</v>
      </c>
      <c r="G32" s="8">
        <f t="shared" si="15"/>
        <v>6.1955119442711846</v>
      </c>
      <c r="H32" s="2">
        <f>IF(Calculator!$E$11='GWP reference values'!$C$6,G32*'GWP reference values'!$D$6/1000,IF(Calculator!$E$11='GWP reference values'!$C$7,G32*'GWP reference values'!$D$7/1000,IF(Calculator!$E$11='GWP reference values'!$C$8,G32*'GWP reference values'!$D$8/1000,"Error")))</f>
        <v>0.17347433443959318</v>
      </c>
      <c r="I32" s="2">
        <f t="shared" si="8"/>
        <v>12.514741001106259</v>
      </c>
      <c r="J32" s="3">
        <f t="shared" si="9"/>
        <v>38</v>
      </c>
    </row>
    <row r="33" spans="3:10" x14ac:dyDescent="0.25">
      <c r="C33" s="3">
        <v>39</v>
      </c>
      <c r="D33" s="3">
        <f t="shared" si="13"/>
        <v>3.4998999999999998</v>
      </c>
      <c r="E33" s="3">
        <f t="shared" si="14"/>
        <v>12.832966666666666</v>
      </c>
      <c r="F33" s="2">
        <f>(0.334*0.5^((C33+5)/6.31))*'EF Adjustment Table'!I$16</f>
        <v>4.1632419222836971E-3</v>
      </c>
      <c r="G33" s="8">
        <f t="shared" si="15"/>
        <v>5.5509892297115959</v>
      </c>
      <c r="H33" s="2">
        <f>IF(Calculator!$E$11='GWP reference values'!$C$6,G33*'GWP reference values'!$D$6/1000,IF(Calculator!$E$11='GWP reference values'!$C$7,G33*'GWP reference values'!$D$7/1000,IF(Calculator!$E$11='GWP reference values'!$C$8,G33*'GWP reference values'!$D$8/1000,"Error")))</f>
        <v>0.15542769843192469</v>
      </c>
      <c r="I33" s="2">
        <f t="shared" si="8"/>
        <v>12.988394365098591</v>
      </c>
      <c r="J33" s="3">
        <f t="shared" si="9"/>
        <v>39</v>
      </c>
    </row>
    <row r="34" spans="3:10" x14ac:dyDescent="0.25">
      <c r="C34" s="3">
        <v>40</v>
      </c>
      <c r="D34" s="3">
        <f t="shared" si="13"/>
        <v>3.6339999999999999</v>
      </c>
      <c r="E34" s="3">
        <f t="shared" si="14"/>
        <v>13.324666666666667</v>
      </c>
      <c r="F34" s="2">
        <f>(0.334*0.5^((C34+5)/6.31))*'EF Adjustment Table'!I$16</f>
        <v>3.730137441289231E-3</v>
      </c>
      <c r="G34" s="8">
        <f t="shared" si="15"/>
        <v>4.9735165883856416</v>
      </c>
      <c r="H34" s="2">
        <f>IF(Calculator!$E$11='GWP reference values'!$C$6,G34*'GWP reference values'!$D$6/1000,IF(Calculator!$E$11='GWP reference values'!$C$7,G34*'GWP reference values'!$D$7/1000,IF(Calculator!$E$11='GWP reference values'!$C$8,G34*'GWP reference values'!$D$8/1000,"Error")))</f>
        <v>0.13925846447479795</v>
      </c>
      <c r="I34" s="2">
        <f t="shared" si="8"/>
        <v>13.463925131141465</v>
      </c>
      <c r="J34" s="3">
        <f t="shared" si="9"/>
        <v>40</v>
      </c>
    </row>
    <row r="35" spans="3:10" x14ac:dyDescent="0.25">
      <c r="C35" s="3">
        <v>41</v>
      </c>
      <c r="D35" s="3">
        <f t="shared" si="13"/>
        <v>3.7681</v>
      </c>
      <c r="E35" s="3">
        <f t="shared" si="14"/>
        <v>13.816366666666667</v>
      </c>
      <c r="F35" s="2">
        <f>(0.334*0.5^((C35+5)/6.31))*'EF Adjustment Table'!I$16</f>
        <v>3.342089071603954E-3</v>
      </c>
      <c r="G35" s="8">
        <f t="shared" si="15"/>
        <v>4.4561187621386056</v>
      </c>
      <c r="H35" s="2">
        <f>IF(Calculator!$E$11='GWP reference values'!$C$6,G35*'GWP reference values'!$D$6/1000,IF(Calculator!$E$11='GWP reference values'!$C$7,G35*'GWP reference values'!$D$7/1000,IF(Calculator!$E$11='GWP reference values'!$C$8,G35*'GWP reference values'!$D$8/1000,"Error")))</f>
        <v>0.12477132533988096</v>
      </c>
      <c r="I35" s="2">
        <f t="shared" si="8"/>
        <v>13.941137992006547</v>
      </c>
      <c r="J35" s="3">
        <f t="shared" si="9"/>
        <v>41</v>
      </c>
    </row>
    <row r="36" spans="3:10" x14ac:dyDescent="0.25">
      <c r="C36" s="3">
        <v>42</v>
      </c>
      <c r="D36" s="3">
        <f t="shared" si="13"/>
        <v>3.9022000000000001</v>
      </c>
      <c r="E36" s="3">
        <f t="shared" si="14"/>
        <v>14.308066666666667</v>
      </c>
      <c r="F36" s="2">
        <f>(0.334*0.5^((C36+5)/6.31))*'EF Adjustment Table'!I$16</f>
        <v>2.9944095997369163E-3</v>
      </c>
      <c r="G36" s="8">
        <f t="shared" si="15"/>
        <v>3.9925461329825551</v>
      </c>
      <c r="H36" s="2">
        <f>IF(Calculator!$E$11='GWP reference values'!$C$6,G36*'GWP reference values'!$D$6/1000,IF(Calculator!$E$11='GWP reference values'!$C$7,G36*'GWP reference values'!$D$7/1000,IF(Calculator!$E$11='GWP reference values'!$C$8,G36*'GWP reference values'!$D$8/1000,"Error")))</f>
        <v>0.11179129172351154</v>
      </c>
      <c r="I36" s="2">
        <f t="shared" si="8"/>
        <v>14.419857958390178</v>
      </c>
      <c r="J36" s="3">
        <f t="shared" si="9"/>
        <v>42</v>
      </c>
    </row>
    <row r="37" spans="3:10" x14ac:dyDescent="0.25">
      <c r="C37" s="3">
        <v>43</v>
      </c>
      <c r="D37" s="3">
        <f t="shared" si="13"/>
        <v>4.0363000000000007</v>
      </c>
      <c r="E37" s="3">
        <f t="shared" si="14"/>
        <v>14.799766666666669</v>
      </c>
      <c r="F37" s="2">
        <f>(0.334*0.5^((C37+5)/6.31))*'EF Adjustment Table'!I$16</f>
        <v>2.6828994257455138E-3</v>
      </c>
      <c r="G37" s="8">
        <f t="shared" si="15"/>
        <v>3.577199234327352</v>
      </c>
      <c r="H37" s="2">
        <f>IF(Calculator!$E$11='GWP reference values'!$C$6,G37*'GWP reference values'!$D$6/1000,IF(Calculator!$E$11='GWP reference values'!$C$7,G37*'GWP reference values'!$D$7/1000,IF(Calculator!$E$11='GWP reference values'!$C$8,G37*'GWP reference values'!$D$8/1000,"Error")))</f>
        <v>0.10016157856116585</v>
      </c>
      <c r="I37" s="2">
        <f t="shared" si="8"/>
        <v>14.899928245227834</v>
      </c>
      <c r="J37" s="3">
        <f t="shared" si="9"/>
        <v>43</v>
      </c>
    </row>
    <row r="38" spans="3:10" x14ac:dyDescent="0.25">
      <c r="C38" s="3">
        <v>44</v>
      </c>
      <c r="D38" s="3">
        <f t="shared" si="13"/>
        <v>4.170399999999999</v>
      </c>
      <c r="E38" s="3">
        <f t="shared" si="14"/>
        <v>15.291466666666663</v>
      </c>
      <c r="F38" s="2">
        <f>(0.334*0.5^((C38+5)/6.31))*'EF Adjustment Table'!I$16</f>
        <v>2.4037958365141503E-3</v>
      </c>
      <c r="G38" s="8">
        <f t="shared" si="15"/>
        <v>3.2050611153522</v>
      </c>
      <c r="H38" s="2">
        <f>IF(Calculator!$E$11='GWP reference values'!$C$6,G38*'GWP reference values'!$D$6/1000,IF(Calculator!$E$11='GWP reference values'!$C$7,G38*'GWP reference values'!$D$7/1000,IF(Calculator!$E$11='GWP reference values'!$C$8,G38*'GWP reference values'!$D$8/1000,"Error")))</f>
        <v>8.974171122986159E-2</v>
      </c>
      <c r="I38" s="2">
        <f t="shared" si="8"/>
        <v>15.381208377896524</v>
      </c>
      <c r="J38" s="3">
        <f t="shared" si="9"/>
        <v>44</v>
      </c>
    </row>
    <row r="39" spans="3:10" x14ac:dyDescent="0.25">
      <c r="C39" s="3">
        <v>45</v>
      </c>
      <c r="D39" s="3">
        <f t="shared" si="13"/>
        <v>4.3044999999999991</v>
      </c>
      <c r="E39" s="3">
        <f t="shared" si="14"/>
        <v>15.783166666666663</v>
      </c>
      <c r="F39" s="2">
        <f>(0.334*0.5^((C39+5)/6.31))*'EF Adjustment Table'!I$16</f>
        <v>2.1537275561632854E-3</v>
      </c>
      <c r="G39" s="8">
        <f t="shared" si="15"/>
        <v>2.8716367415510473</v>
      </c>
      <c r="H39" s="2">
        <f>IF(Calculator!$E$11='GWP reference values'!$C$6,G39*'GWP reference values'!$D$6/1000,IF(Calculator!$E$11='GWP reference values'!$C$7,G39*'GWP reference values'!$D$7/1000,IF(Calculator!$E$11='GWP reference values'!$C$8,G39*'GWP reference values'!$D$8/1000,"Error")))</f>
        <v>8.0405828763429332E-2</v>
      </c>
      <c r="I39" s="2">
        <f t="shared" si="8"/>
        <v>15.863572495430093</v>
      </c>
      <c r="J39" s="3">
        <f t="shared" si="9"/>
        <v>45</v>
      </c>
    </row>
    <row r="40" spans="3:10" x14ac:dyDescent="0.25">
      <c r="C40" s="3">
        <v>46</v>
      </c>
      <c r="D40" s="3">
        <f t="shared" si="13"/>
        <v>4.4385999999999992</v>
      </c>
      <c r="E40" s="3">
        <f t="shared" si="14"/>
        <v>16.274866666666664</v>
      </c>
      <c r="F40" s="2">
        <f>(0.334*0.5^((C40+5)/6.31))*'EF Adjustment Table'!I$16</f>
        <v>1.9296740246058618E-3</v>
      </c>
      <c r="G40" s="8">
        <f t="shared" si="15"/>
        <v>2.5728986994744822</v>
      </c>
      <c r="H40" s="2">
        <f>IF(Calculator!$E$11='GWP reference values'!$C$6,G40*'GWP reference values'!$D$6/1000,IF(Calculator!$E$11='GWP reference values'!$C$7,G40*'GWP reference values'!$D$7/1000,IF(Calculator!$E$11='GWP reference values'!$C$8,G40*'GWP reference values'!$D$8/1000,"Error")))</f>
        <v>7.2041163585285506E-2</v>
      </c>
      <c r="I40" s="2">
        <f t="shared" si="8"/>
        <v>16.346907830251951</v>
      </c>
      <c r="J40" s="3">
        <f t="shared" si="9"/>
        <v>46</v>
      </c>
    </row>
    <row r="41" spans="3:10" x14ac:dyDescent="0.25">
      <c r="C41" s="3">
        <v>47</v>
      </c>
      <c r="D41" s="3">
        <f t="shared" si="13"/>
        <v>4.5726999999999993</v>
      </c>
      <c r="E41" s="3">
        <f t="shared" si="14"/>
        <v>16.766566666666662</v>
      </c>
      <c r="F41" s="2">
        <f>(0.334*0.5^((C41+5)/6.31))*'EF Adjustment Table'!I$16</f>
        <v>1.7289289123792395E-3</v>
      </c>
      <c r="G41" s="8">
        <f t="shared" si="15"/>
        <v>2.305238549838986</v>
      </c>
      <c r="H41" s="2">
        <f>IF(Calculator!$E$11='GWP reference values'!$C$6,G41*'GWP reference values'!$D$6/1000,IF(Calculator!$E$11='GWP reference values'!$C$7,G41*'GWP reference values'!$D$7/1000,IF(Calculator!$E$11='GWP reference values'!$C$8,G41*'GWP reference values'!$D$8/1000,"Error")))</f>
        <v>6.4546679395491607E-2</v>
      </c>
      <c r="I41" s="2">
        <f t="shared" si="8"/>
        <v>16.831113346062153</v>
      </c>
      <c r="J41" s="3">
        <f t="shared" si="9"/>
        <v>47</v>
      </c>
    </row>
    <row r="42" spans="3:10" x14ac:dyDescent="0.25">
      <c r="C42" s="3">
        <v>48</v>
      </c>
      <c r="D42" s="3">
        <f t="shared" si="13"/>
        <v>4.7067999999999994</v>
      </c>
      <c r="E42" s="3">
        <f t="shared" si="14"/>
        <v>17.258266666666664</v>
      </c>
      <c r="F42" s="2">
        <f>(0.334*0.5^((C42+5)/6.31))*'EF Adjustment Table'!I$16</f>
        <v>1.5490674310503841E-3</v>
      </c>
      <c r="G42" s="8">
        <f t="shared" si="15"/>
        <v>2.065423241400512</v>
      </c>
      <c r="H42" s="2">
        <f>IF(Calculator!$E$11='GWP reference values'!$C$6,G42*'GWP reference values'!$D$6/1000,IF(Calculator!$E$11='GWP reference values'!$C$7,G42*'GWP reference values'!$D$7/1000,IF(Calculator!$E$11='GWP reference values'!$C$8,G42*'GWP reference values'!$D$8/1000,"Error")))</f>
        <v>5.7831850759214334E-2</v>
      </c>
      <c r="I42" s="2">
        <f t="shared" si="8"/>
        <v>17.316098517425878</v>
      </c>
      <c r="J42" s="3">
        <f t="shared" si="9"/>
        <v>48</v>
      </c>
    </row>
    <row r="43" spans="3:10" x14ac:dyDescent="0.25">
      <c r="C43" s="3">
        <v>49</v>
      </c>
      <c r="D43" s="3">
        <f t="shared" si="13"/>
        <v>4.8408999999999995</v>
      </c>
      <c r="E43" s="3">
        <f t="shared" si="14"/>
        <v>17.749966666666666</v>
      </c>
      <c r="F43" s="2">
        <f>(0.334*0.5^((C43+5)/6.31))*'EF Adjustment Table'!I$16</f>
        <v>1.3879170443386543E-3</v>
      </c>
      <c r="G43" s="8">
        <f t="shared" si="15"/>
        <v>1.8505560591182058</v>
      </c>
      <c r="H43" s="2">
        <f>IF(Calculator!$E$11='GWP reference values'!$C$6,G43*'GWP reference values'!$D$6/1000,IF(Calculator!$E$11='GWP reference values'!$C$7,G43*'GWP reference values'!$D$7/1000,IF(Calculator!$E$11='GWP reference values'!$C$8,G43*'GWP reference values'!$D$8/1000,"Error")))</f>
        <v>5.1815569655309757E-2</v>
      </c>
      <c r="I43" s="2">
        <f t="shared" si="8"/>
        <v>17.801782236321976</v>
      </c>
      <c r="J43" s="3">
        <f t="shared" si="9"/>
        <v>49</v>
      </c>
    </row>
    <row r="44" spans="3:10" x14ac:dyDescent="0.25">
      <c r="C44" s="3">
        <v>50</v>
      </c>
      <c r="D44" s="3">
        <f t="shared" si="13"/>
        <v>4.9749999999999996</v>
      </c>
      <c r="E44" s="3">
        <f t="shared" si="14"/>
        <v>18.241666666666667</v>
      </c>
      <c r="F44" s="2">
        <f>(0.334*0.5^((C44+5)/6.31))*'EF Adjustment Table'!I$16</f>
        <v>1.2435312261775196E-3</v>
      </c>
      <c r="G44" s="8">
        <f t="shared" si="15"/>
        <v>1.6580416349033593</v>
      </c>
      <c r="H44" s="2">
        <f>IF(Calculator!$E$11='GWP reference values'!$C$6,G44*'GWP reference values'!$D$6/1000,IF(Calculator!$E$11='GWP reference values'!$C$7,G44*'GWP reference values'!$D$7/1000,IF(Calculator!$E$11='GWP reference values'!$C$8,G44*'GWP reference values'!$D$8/1000,"Error")))</f>
        <v>4.642516577729406E-2</v>
      </c>
      <c r="I44" s="2">
        <f t="shared" si="8"/>
        <v>18.288091832443961</v>
      </c>
      <c r="J44" s="3">
        <f t="shared" si="9"/>
        <v>50</v>
      </c>
    </row>
    <row r="45" spans="3:10" x14ac:dyDescent="0.25">
      <c r="C45" s="3">
        <v>51</v>
      </c>
      <c r="D45" s="3">
        <f t="shared" si="13"/>
        <v>5.1090999999999998</v>
      </c>
      <c r="E45" s="3">
        <f t="shared" si="14"/>
        <v>18.733366666666665</v>
      </c>
      <c r="F45" s="2">
        <f>(0.334*0.5^((C45+5)/6.31))*'EF Adjustment Table'!I$16</f>
        <v>1.1141659487404131E-3</v>
      </c>
      <c r="G45" s="8">
        <f t="shared" si="15"/>
        <v>1.4855545983205509</v>
      </c>
      <c r="H45" s="2">
        <f>IF(Calculator!$E$11='GWP reference values'!$C$6,G45*'GWP reference values'!$D$6/1000,IF(Calculator!$E$11='GWP reference values'!$C$7,G45*'GWP reference values'!$D$7/1000,IF(Calculator!$E$11='GWP reference values'!$C$8,G45*'GWP reference values'!$D$8/1000,"Error")))</f>
        <v>4.1595528752975425E-2</v>
      </c>
      <c r="I45" s="2">
        <f t="shared" si="8"/>
        <v>18.77496219541964</v>
      </c>
      <c r="J45" s="3">
        <f t="shared" si="9"/>
        <v>51</v>
      </c>
    </row>
    <row r="46" spans="3:10" x14ac:dyDescent="0.25">
      <c r="C46" s="3">
        <v>52</v>
      </c>
      <c r="D46" s="3">
        <f t="shared" si="13"/>
        <v>5.2431999999999999</v>
      </c>
      <c r="E46" s="3">
        <f t="shared" si="14"/>
        <v>19.225066666666667</v>
      </c>
      <c r="F46" s="2">
        <f>(0.334*0.5^((C46+5)/6.31))*'EF Adjustment Table'!I$16</f>
        <v>9.9825861643092618E-4</v>
      </c>
      <c r="G46" s="8">
        <f t="shared" si="15"/>
        <v>1.3310114885745683</v>
      </c>
      <c r="H46" s="2">
        <f>IF(Calculator!$E$11='GWP reference values'!$C$6,G46*'GWP reference values'!$D$6/1000,IF(Calculator!$E$11='GWP reference values'!$C$7,G46*'GWP reference values'!$D$7/1000,IF(Calculator!$E$11='GWP reference values'!$C$8,G46*'GWP reference values'!$D$8/1000,"Error")))</f>
        <v>3.7268321680087917E-2</v>
      </c>
      <c r="I46" s="2">
        <f t="shared" si="8"/>
        <v>19.262334988346755</v>
      </c>
      <c r="J46" s="3">
        <f t="shared" si="9"/>
        <v>52</v>
      </c>
    </row>
    <row r="47" spans="3:10" x14ac:dyDescent="0.25">
      <c r="C47" s="3">
        <v>53</v>
      </c>
      <c r="D47" s="3">
        <f t="shared" si="13"/>
        <v>5.3773</v>
      </c>
      <c r="E47" s="3">
        <f t="shared" si="14"/>
        <v>19.716766666666665</v>
      </c>
      <c r="F47" s="2">
        <f>(0.334*0.5^((C47+5)/6.31))*'EF Adjustment Table'!I$16</f>
        <v>8.944091913822837E-4</v>
      </c>
      <c r="G47" s="8">
        <f t="shared" si="15"/>
        <v>1.1925455885097116</v>
      </c>
      <c r="H47" s="2">
        <f>IF(Calculator!$E$11='GWP reference values'!$C$6,G47*'GWP reference values'!$D$6/1000,IF(Calculator!$E$11='GWP reference values'!$C$7,G47*'GWP reference values'!$D$7/1000,IF(Calculator!$E$11='GWP reference values'!$C$8,G47*'GWP reference values'!$D$8/1000,"Error")))</f>
        <v>3.3391276478271927E-2</v>
      </c>
      <c r="I47" s="2">
        <f t="shared" si="8"/>
        <v>19.750157943144938</v>
      </c>
      <c r="J47" s="3">
        <f t="shared" si="9"/>
        <v>53</v>
      </c>
    </row>
    <row r="48" spans="3:10" x14ac:dyDescent="0.25">
      <c r="C48" s="3">
        <v>54</v>
      </c>
      <c r="D48" s="3">
        <f t="shared" si="13"/>
        <v>5.5114000000000001</v>
      </c>
      <c r="E48" s="3">
        <f t="shared" si="14"/>
        <v>20.208466666666666</v>
      </c>
      <c r="F48" s="2">
        <f>(0.334*0.5^((C48+5)/6.31))*'EF Adjustment Table'!I$16</f>
        <v>8.0136328248208333E-4</v>
      </c>
      <c r="G48" s="8">
        <f t="shared" si="15"/>
        <v>1.0684843766427778</v>
      </c>
      <c r="H48" s="2">
        <f>IF(Calculator!$E$11='GWP reference values'!$C$6,G48*'GWP reference values'!$D$6/1000,IF(Calculator!$E$11='GWP reference values'!$C$7,G48*'GWP reference values'!$D$7/1000,IF(Calculator!$E$11='GWP reference values'!$C$8,G48*'GWP reference values'!$D$8/1000,"Error")))</f>
        <v>2.991756254599778E-2</v>
      </c>
      <c r="I48" s="2">
        <f t="shared" si="8"/>
        <v>20.238384229212663</v>
      </c>
      <c r="J48" s="3">
        <f t="shared" si="9"/>
        <v>54</v>
      </c>
    </row>
    <row r="49" spans="3:10" x14ac:dyDescent="0.25">
      <c r="C49" s="3">
        <v>55</v>
      </c>
      <c r="D49" s="3">
        <f t="shared" si="13"/>
        <v>5.6455000000000002</v>
      </c>
      <c r="E49" s="3">
        <f t="shared" si="14"/>
        <v>20.700166666666668</v>
      </c>
      <c r="F49" s="2">
        <f>(0.334*0.5^((C49+5)/6.31))*'EF Adjustment Table'!I$16</f>
        <v>7.1799699365564902E-4</v>
      </c>
      <c r="G49" s="8">
        <f t="shared" si="15"/>
        <v>0.95732932487419875</v>
      </c>
      <c r="H49" s="2">
        <f>IF(Calculator!$E$11='GWP reference values'!$C$6,G49*'GWP reference values'!$D$6/1000,IF(Calculator!$E$11='GWP reference values'!$C$7,G49*'GWP reference values'!$D$7/1000,IF(Calculator!$E$11='GWP reference values'!$C$8,G49*'GWP reference values'!$D$8/1000,"Error")))</f>
        <v>2.6805221096477566E-2</v>
      </c>
      <c r="I49" s="2">
        <f t="shared" si="8"/>
        <v>20.726971887763145</v>
      </c>
      <c r="J49" s="3">
        <f t="shared" si="9"/>
        <v>55</v>
      </c>
    </row>
    <row r="50" spans="3:10" x14ac:dyDescent="0.25">
      <c r="C50" s="3">
        <v>56</v>
      </c>
      <c r="D50" s="3">
        <f t="shared" si="13"/>
        <v>5.7796000000000003</v>
      </c>
      <c r="E50" s="3">
        <f t="shared" si="14"/>
        <v>21.19186666666667</v>
      </c>
      <c r="F50" s="2">
        <f>(0.334*0.5^((C50+5)/6.31))*'EF Adjustment Table'!I$16</f>
        <v>6.4330334839127787E-4</v>
      </c>
      <c r="G50" s="8">
        <f t="shared" si="15"/>
        <v>0.85773779785503723</v>
      </c>
      <c r="H50" s="2">
        <f>IF(Calculator!$E$11='GWP reference values'!$C$6,G50*'GWP reference values'!$D$6/1000,IF(Calculator!$E$11='GWP reference values'!$C$7,G50*'GWP reference values'!$D$7/1000,IF(Calculator!$E$11='GWP reference values'!$C$8,G50*'GWP reference values'!$D$8/1000,"Error")))</f>
        <v>2.401665833994104E-2</v>
      </c>
      <c r="I50" s="2">
        <f t="shared" si="8"/>
        <v>21.215883325006612</v>
      </c>
      <c r="J50" s="3">
        <f t="shared" si="9"/>
        <v>56</v>
      </c>
    </row>
    <row r="51" spans="3:10" x14ac:dyDescent="0.25">
      <c r="C51" s="3">
        <v>57</v>
      </c>
      <c r="D51" s="3">
        <f t="shared" si="13"/>
        <v>5.9137000000000004</v>
      </c>
      <c r="E51" s="3">
        <f t="shared" si="14"/>
        <v>21.683566666666668</v>
      </c>
      <c r="F51" s="2">
        <f>(0.334*0.5^((C51+5)/6.31))*'EF Adjustment Table'!I$16</f>
        <v>5.7638012653003757E-4</v>
      </c>
      <c r="G51" s="8">
        <f t="shared" si="15"/>
        <v>0.76850683537338338</v>
      </c>
      <c r="H51" s="2">
        <f>IF(Calculator!$E$11='GWP reference values'!$C$6,G51*'GWP reference values'!$D$6/1000,IF(Calculator!$E$11='GWP reference values'!$C$7,G51*'GWP reference values'!$D$7/1000,IF(Calculator!$E$11='GWP reference values'!$C$8,G51*'GWP reference values'!$D$8/1000,"Error")))</f>
        <v>2.1518191390454734E-2</v>
      </c>
      <c r="I51" s="2">
        <f t="shared" si="8"/>
        <v>21.705084858057123</v>
      </c>
      <c r="J51" s="3">
        <f t="shared" si="9"/>
        <v>57</v>
      </c>
    </row>
    <row r="52" spans="3:10" x14ac:dyDescent="0.25">
      <c r="C52" s="3">
        <v>58</v>
      </c>
      <c r="D52" s="3">
        <f t="shared" si="13"/>
        <v>6.0478000000000005</v>
      </c>
      <c r="E52" s="3">
        <f t="shared" si="14"/>
        <v>22.175266666666666</v>
      </c>
      <c r="F52" s="2">
        <f>(0.334*0.5^((C52+5)/6.31))*'EF Adjustment Table'!I$16</f>
        <v>5.1641896640139927E-4</v>
      </c>
      <c r="G52" s="8">
        <f t="shared" si="15"/>
        <v>0.68855862186853234</v>
      </c>
      <c r="H52" s="2">
        <f>IF(Calculator!$E$11='GWP reference values'!$C$6,G52*'GWP reference values'!$D$6/1000,IF(Calculator!$E$11='GWP reference values'!$C$7,G52*'GWP reference values'!$D$7/1000,IF(Calculator!$E$11='GWP reference values'!$C$8,G52*'GWP reference values'!$D$8/1000,"Error")))</f>
        <v>1.9279641412318905E-2</v>
      </c>
      <c r="I52" s="2">
        <f t="shared" si="8"/>
        <v>22.194546308078984</v>
      </c>
      <c r="J52" s="3">
        <f t="shared" si="9"/>
        <v>58</v>
      </c>
    </row>
    <row r="53" spans="3:10" x14ac:dyDescent="0.25">
      <c r="C53" s="3">
        <v>59</v>
      </c>
      <c r="D53" s="3">
        <f t="shared" si="13"/>
        <v>6.1819000000000006</v>
      </c>
      <c r="E53" s="3">
        <f t="shared" si="14"/>
        <v>22.666966666666667</v>
      </c>
      <c r="F53" s="2">
        <f>(0.334*0.5^((C53+5)/6.31))*'EF Adjustment Table'!I$16</f>
        <v>4.6269560067003894E-4</v>
      </c>
      <c r="G53" s="8">
        <f t="shared" si="15"/>
        <v>0.6169274675600519</v>
      </c>
      <c r="H53" s="2">
        <f>IF(Calculator!$E$11='GWP reference values'!$C$6,G53*'GWP reference values'!$D$6/1000,IF(Calculator!$E$11='GWP reference values'!$C$7,G53*'GWP reference values'!$D$7/1000,IF(Calculator!$E$11='GWP reference values'!$C$8,G53*'GWP reference values'!$D$8/1000,"Error")))</f>
        <v>1.7273969091681454E-2</v>
      </c>
      <c r="I53" s="2">
        <f t="shared" si="8"/>
        <v>22.68424063575835</v>
      </c>
      <c r="J53" s="3">
        <f t="shared" si="9"/>
        <v>59</v>
      </c>
    </row>
    <row r="54" spans="3:10" x14ac:dyDescent="0.25">
      <c r="C54" s="3">
        <v>60</v>
      </c>
      <c r="D54" s="3">
        <f t="shared" si="13"/>
        <v>6.3159999999999989</v>
      </c>
      <c r="E54" s="3">
        <f t="shared" si="14"/>
        <v>23.158666666666662</v>
      </c>
      <c r="F54" s="2">
        <f>(0.334*0.5^((C54+5)/6.31))*'EF Adjustment Table'!I$16</f>
        <v>4.1456110795319671E-4</v>
      </c>
      <c r="G54" s="8">
        <f t="shared" si="15"/>
        <v>0.55274814393759564</v>
      </c>
      <c r="H54" s="2">
        <f>IF(Calculator!$E$11='GWP reference values'!$C$6,G54*'GWP reference values'!$D$6/1000,IF(Calculator!$E$11='GWP reference values'!$C$7,G54*'GWP reference values'!$D$7/1000,IF(Calculator!$E$11='GWP reference values'!$C$8,G54*'GWP reference values'!$D$8/1000,"Error")))</f>
        <v>1.5476948030252678E-2</v>
      </c>
      <c r="I54" s="2">
        <f t="shared" si="8"/>
        <v>23.174143614696913</v>
      </c>
      <c r="J54" s="3">
        <f t="shared" si="9"/>
        <v>60</v>
      </c>
    </row>
    <row r="55" spans="3:10" x14ac:dyDescent="0.25">
      <c r="C55" s="3">
        <v>61</v>
      </c>
      <c r="D55" s="3">
        <f t="shared" si="13"/>
        <v>6.4500999999999991</v>
      </c>
      <c r="E55" s="3">
        <f t="shared" si="14"/>
        <v>23.650366666666663</v>
      </c>
      <c r="F55" s="2">
        <f>(0.334*0.5^((C55+5)/6.31))*'EF Adjustment Table'!I$16</f>
        <v>3.714340745373551E-4</v>
      </c>
      <c r="G55" s="8">
        <f t="shared" si="15"/>
        <v>0.49524543271647348</v>
      </c>
      <c r="H55" s="2">
        <f>IF(Calculator!$E$11='GWP reference values'!$C$6,G55*'GWP reference values'!$D$6/1000,IF(Calculator!$E$11='GWP reference values'!$C$7,G55*'GWP reference values'!$D$7/1000,IF(Calculator!$E$11='GWP reference values'!$C$8,G55*'GWP reference values'!$D$8/1000,"Error")))</f>
        <v>1.3866872116061257E-2</v>
      </c>
      <c r="I55" s="2">
        <f t="shared" si="8"/>
        <v>23.664233538782725</v>
      </c>
      <c r="J55" s="3">
        <f t="shared" si="9"/>
        <v>61</v>
      </c>
    </row>
    <row r="56" spans="3:10" x14ac:dyDescent="0.25">
      <c r="C56" s="3">
        <v>62</v>
      </c>
      <c r="D56" s="3">
        <f t="shared" si="13"/>
        <v>6.5841999999999992</v>
      </c>
      <c r="E56" s="3">
        <f t="shared" si="14"/>
        <v>24.142066666666665</v>
      </c>
      <c r="F56" s="2">
        <f>(0.334*0.5^((C56+5)/6.31))*'EF Adjustment Table'!I$16</f>
        <v>3.3279357151611445E-4</v>
      </c>
      <c r="G56" s="8">
        <f t="shared" si="15"/>
        <v>0.44372476202148592</v>
      </c>
      <c r="H56" s="2">
        <f>IF(Calculator!$E$11='GWP reference values'!$C$6,G56*'GWP reference values'!$D$6/1000,IF(Calculator!$E$11='GWP reference values'!$C$7,G56*'GWP reference values'!$D$7/1000,IF(Calculator!$E$11='GWP reference values'!$C$8,G56*'GWP reference values'!$D$8/1000,"Error")))</f>
        <v>1.2424293336601605E-2</v>
      </c>
      <c r="I56" s="2">
        <f t="shared" si="8"/>
        <v>24.154490960003265</v>
      </c>
      <c r="J56" s="3">
        <f t="shared" si="9"/>
        <v>62</v>
      </c>
    </row>
    <row r="57" spans="3:10" x14ac:dyDescent="0.25">
      <c r="C57" s="3">
        <v>63</v>
      </c>
      <c r="D57" s="3">
        <f t="shared" si="13"/>
        <v>6.7182999999999993</v>
      </c>
      <c r="E57" s="3">
        <f t="shared" si="14"/>
        <v>24.633766666666663</v>
      </c>
      <c r="F57" s="2">
        <f>(0.334*0.5^((C57+5)/6.31))*'EF Adjustment Table'!I$16</f>
        <v>2.9817286252048654E-4</v>
      </c>
      <c r="G57" s="8">
        <f t="shared" si="15"/>
        <v>0.39756381669398205</v>
      </c>
      <c r="H57" s="2">
        <f>IF(Calculator!$E$11='GWP reference values'!$C$6,G57*'GWP reference values'!$D$6/1000,IF(Calculator!$E$11='GWP reference values'!$C$7,G57*'GWP reference values'!$D$7/1000,IF(Calculator!$E$11='GWP reference values'!$C$8,G57*'GWP reference values'!$D$8/1000,"Error")))</f>
        <v>1.1131786867431498E-2</v>
      </c>
      <c r="I57" s="2">
        <f t="shared" si="8"/>
        <v>24.644898453534093</v>
      </c>
      <c r="J57" s="3">
        <f t="shared" si="9"/>
        <v>63</v>
      </c>
    </row>
    <row r="58" spans="3:10" x14ac:dyDescent="0.25">
      <c r="C58" s="3">
        <v>64</v>
      </c>
      <c r="D58" s="3">
        <f t="shared" si="13"/>
        <v>6.8523999999999994</v>
      </c>
      <c r="E58" s="3">
        <f t="shared" si="14"/>
        <v>25.125466666666664</v>
      </c>
      <c r="F58" s="2">
        <f>(0.334*0.5^((C58+5)/6.31))*'EF Adjustment Table'!I$16</f>
        <v>2.6715376603768365E-4</v>
      </c>
      <c r="G58" s="8">
        <f t="shared" si="15"/>
        <v>0.35620502138357818</v>
      </c>
      <c r="H58" s="2">
        <f>IF(Calculator!$E$11='GWP reference values'!$C$6,G58*'GWP reference values'!$D$6/1000,IF(Calculator!$E$11='GWP reference values'!$C$7,G58*'GWP reference values'!$D$7/1000,IF(Calculator!$E$11='GWP reference values'!$C$8,G58*'GWP reference values'!$D$8/1000,"Error")))</f>
        <v>9.9737405987401894E-3</v>
      </c>
      <c r="I58" s="2">
        <f t="shared" si="8"/>
        <v>25.135440407265406</v>
      </c>
      <c r="J58" s="3">
        <f t="shared" si="9"/>
        <v>64</v>
      </c>
    </row>
    <row r="59" spans="3:10" x14ac:dyDescent="0.25">
      <c r="C59" s="3">
        <v>65</v>
      </c>
      <c r="D59" s="3">
        <f t="shared" si="13"/>
        <v>6.9864999999999995</v>
      </c>
      <c r="E59" s="3">
        <f t="shared" si="14"/>
        <v>25.617166666666666</v>
      </c>
      <c r="F59" s="2">
        <f>(0.334*0.5^((C59+5)/6.31))*'EF Adjustment Table'!I$16</f>
        <v>2.3936160422115388E-4</v>
      </c>
      <c r="G59" s="8">
        <f t="shared" si="15"/>
        <v>0.31914880562820519</v>
      </c>
      <c r="H59" s="2">
        <f>IF(Calculator!$E$11='GWP reference values'!$C$6,G59*'GWP reference values'!$D$6/1000,IF(Calculator!$E$11='GWP reference values'!$C$7,G59*'GWP reference values'!$D$7/1000,IF(Calculator!$E$11='GWP reference values'!$C$8,G59*'GWP reference values'!$D$8/1000,"Error")))</f>
        <v>8.9361665575897458E-3</v>
      </c>
      <c r="I59" s="2">
        <f t="shared" si="8"/>
        <v>25.626102833224255</v>
      </c>
      <c r="J59" s="3">
        <f t="shared" si="9"/>
        <v>65</v>
      </c>
    </row>
    <row r="60" spans="3:10" x14ac:dyDescent="0.25">
      <c r="C60" s="3">
        <v>66</v>
      </c>
      <c r="D60" s="3">
        <f t="shared" si="13"/>
        <v>7.1205999999999996</v>
      </c>
      <c r="E60" s="3">
        <f t="shared" si="14"/>
        <v>26.108866666666664</v>
      </c>
      <c r="F60" s="2">
        <f>(0.334*0.5^((C60+5)/6.31))*'EF Adjustment Table'!I$16</f>
        <v>2.1446067717886016E-4</v>
      </c>
      <c r="G60" s="8">
        <f t="shared" si="15"/>
        <v>0.28594756957181355</v>
      </c>
      <c r="H60" s="2">
        <f>IF(Calculator!$E$11='GWP reference values'!$C$6,G60*'GWP reference values'!$D$6/1000,IF(Calculator!$E$11='GWP reference values'!$C$7,G60*'GWP reference values'!$D$7/1000,IF(Calculator!$E$11='GWP reference values'!$C$8,G60*'GWP reference values'!$D$8/1000,"Error")))</f>
        <v>8.00653194801078E-3</v>
      </c>
      <c r="I60" s="2">
        <f t="shared" si="8"/>
        <v>26.116873198614673</v>
      </c>
      <c r="J60" s="3">
        <f t="shared" si="9"/>
        <v>66</v>
      </c>
    </row>
    <row r="61" spans="3:10" x14ac:dyDescent="0.25">
      <c r="C61" s="3">
        <v>67</v>
      </c>
      <c r="D61" s="3">
        <f t="shared" si="13"/>
        <v>7.2546999999999997</v>
      </c>
      <c r="E61" s="3">
        <f t="shared" si="14"/>
        <v>26.600566666666666</v>
      </c>
      <c r="F61" s="2">
        <f>(0.334*0.5^((C61+5)/6.31))*'EF Adjustment Table'!I$16</f>
        <v>1.9215020807397527E-4</v>
      </c>
      <c r="G61" s="8">
        <f t="shared" si="15"/>
        <v>0.25620027743196699</v>
      </c>
      <c r="H61" s="2">
        <f>IF(Calculator!$E$11='GWP reference values'!$C$6,G61*'GWP reference values'!$D$6/1000,IF(Calculator!$E$11='GWP reference values'!$C$7,G61*'GWP reference values'!$D$7/1000,IF(Calculator!$E$11='GWP reference values'!$C$8,G61*'GWP reference values'!$D$8/1000,"Error")))</f>
        <v>7.1736077680950756E-3</v>
      </c>
      <c r="I61" s="2">
        <f t="shared" si="8"/>
        <v>26.607740274434761</v>
      </c>
      <c r="J61" s="3">
        <f t="shared" si="9"/>
        <v>67</v>
      </c>
    </row>
    <row r="62" spans="3:10" x14ac:dyDescent="0.25">
      <c r="C62" s="3">
        <v>68</v>
      </c>
      <c r="D62" s="3">
        <f t="shared" si="13"/>
        <v>7.3887999999999998</v>
      </c>
      <c r="E62" s="3">
        <f t="shared" si="14"/>
        <v>27.092266666666667</v>
      </c>
      <c r="F62" s="2">
        <f>(0.334*0.5^((C62+5)/6.31))*'EF Adjustment Table'!I$16</f>
        <v>1.7216071005911866E-4</v>
      </c>
      <c r="G62" s="8">
        <f t="shared" si="15"/>
        <v>0.22954761341215821</v>
      </c>
      <c r="H62" s="2">
        <f>IF(Calculator!$E$11='GWP reference values'!$C$6,G62*'GWP reference values'!$D$6/1000,IF(Calculator!$E$11='GWP reference values'!$C$7,G62*'GWP reference values'!$D$7/1000,IF(Calculator!$E$11='GWP reference values'!$C$8,G62*'GWP reference values'!$D$8/1000,"Error")))</f>
        <v>6.4273331755404298E-3</v>
      </c>
      <c r="I62" s="2">
        <f t="shared" si="8"/>
        <v>27.098693999842208</v>
      </c>
      <c r="J62" s="3">
        <f t="shared" si="9"/>
        <v>68</v>
      </c>
    </row>
    <row r="63" spans="3:10" x14ac:dyDescent="0.25">
      <c r="C63" s="3">
        <v>69</v>
      </c>
      <c r="D63" s="3">
        <f t="shared" si="13"/>
        <v>7.5228999999999999</v>
      </c>
      <c r="E63" s="3">
        <f t="shared" si="14"/>
        <v>27.583966666666665</v>
      </c>
      <c r="F63" s="2">
        <f>(0.334*0.5^((C63+5)/6.31))*'EF Adjustment Table'!I$16</f>
        <v>1.5425073116053672E-4</v>
      </c>
      <c r="G63" s="8">
        <f t="shared" si="15"/>
        <v>0.20566764154738229</v>
      </c>
      <c r="H63" s="2">
        <f>IF(Calculator!$E$11='GWP reference values'!$C$6,G63*'GWP reference values'!$D$6/1000,IF(Calculator!$E$11='GWP reference values'!$C$7,G63*'GWP reference values'!$D$7/1000,IF(Calculator!$E$11='GWP reference values'!$C$8,G63*'GWP reference values'!$D$8/1000,"Error")))</f>
        <v>5.7586939633267036E-3</v>
      </c>
      <c r="I63" s="2">
        <f t="shared" si="8"/>
        <v>27.589725360629991</v>
      </c>
      <c r="J63" s="3">
        <f t="shared" si="9"/>
        <v>69</v>
      </c>
    </row>
    <row r="64" spans="3:10" x14ac:dyDescent="0.25">
      <c r="C64" s="3">
        <v>70</v>
      </c>
      <c r="D64" s="3">
        <f t="shared" si="13"/>
        <v>7.657</v>
      </c>
      <c r="E64" s="3">
        <f t="shared" si="14"/>
        <v>28.075666666666667</v>
      </c>
      <c r="F64" s="2">
        <f>(0.334*0.5^((C64+5)/6.31))*'EF Adjustment Table'!I$16</f>
        <v>1.3820393779387724E-4</v>
      </c>
      <c r="G64" s="8">
        <f t="shared" si="15"/>
        <v>0.18427191705850299</v>
      </c>
      <c r="H64" s="2">
        <f>IF(Calculator!$E$11='GWP reference values'!$C$6,G64*'GWP reference values'!$D$6/1000,IF(Calculator!$E$11='GWP reference values'!$C$7,G64*'GWP reference values'!$D$7/1000,IF(Calculator!$E$11='GWP reference values'!$C$8,G64*'GWP reference values'!$D$8/1000,"Error")))</f>
        <v>5.1596136776380841E-3</v>
      </c>
      <c r="I64" s="2">
        <f t="shared" si="8"/>
        <v>28.080826280344304</v>
      </c>
      <c r="J64" s="3">
        <f t="shared" si="9"/>
        <v>70</v>
      </c>
    </row>
    <row r="65" spans="3:10" x14ac:dyDescent="0.25">
      <c r="C65" s="3">
        <v>71</v>
      </c>
      <c r="D65" s="3">
        <f t="shared" si="13"/>
        <v>7.7911000000000001</v>
      </c>
      <c r="E65" s="3">
        <f t="shared" si="14"/>
        <v>28.567366666666668</v>
      </c>
      <c r="F65" s="2">
        <f>(0.334*0.5^((C65+5)/6.31))*'EF Adjustment Table'!I$16</f>
        <v>1.2382650168351673E-4</v>
      </c>
      <c r="G65" s="8">
        <f t="shared" si="15"/>
        <v>0.16510200224468896</v>
      </c>
      <c r="H65" s="2">
        <f>IF(Calculator!$E$11='GWP reference values'!$C$6,G65*'GWP reference values'!$D$6/1000,IF(Calculator!$E$11='GWP reference values'!$C$7,G65*'GWP reference values'!$D$7/1000,IF(Calculator!$E$11='GWP reference values'!$C$8,G65*'GWP reference values'!$D$8/1000,"Error")))</f>
        <v>4.6228560628512909E-3</v>
      </c>
      <c r="I65" s="2">
        <f t="shared" si="8"/>
        <v>28.57198952272952</v>
      </c>
      <c r="J65" s="3">
        <f t="shared" si="9"/>
        <v>71</v>
      </c>
    </row>
    <row r="66" spans="3:10" x14ac:dyDescent="0.25">
      <c r="C66" s="3">
        <v>72</v>
      </c>
      <c r="D66" s="3">
        <f t="shared" si="13"/>
        <v>7.9252000000000002</v>
      </c>
      <c r="E66" s="3">
        <f t="shared" si="14"/>
        <v>29.059066666666666</v>
      </c>
      <c r="F66" s="2">
        <f>(0.334*0.5^((C66+5)/6.31))*'EF Adjustment Table'!I$16</f>
        <v>1.1094475862219057E-4</v>
      </c>
      <c r="G66" s="8">
        <f t="shared" si="15"/>
        <v>0.14792634482958741</v>
      </c>
      <c r="H66" s="2">
        <f>IF(Calculator!$E$11='GWP reference values'!$C$6,G66*'GWP reference values'!$D$6/1000,IF(Calculator!$E$11='GWP reference values'!$C$7,G66*'GWP reference values'!$D$7/1000,IF(Calculator!$E$11='GWP reference values'!$C$8,G66*'GWP reference values'!$D$8/1000,"Error")))</f>
        <v>4.1419376552284479E-3</v>
      </c>
      <c r="I66" s="2">
        <f t="shared" si="8"/>
        <v>29.063208604321893</v>
      </c>
      <c r="J66" s="3">
        <f t="shared" si="9"/>
        <v>72</v>
      </c>
    </row>
    <row r="67" spans="3:10" x14ac:dyDescent="0.25">
      <c r="C67" s="3">
        <v>73</v>
      </c>
      <c r="D67" s="3">
        <f t="shared" si="13"/>
        <v>8.0592999999999986</v>
      </c>
      <c r="E67" s="3">
        <f t="shared" si="14"/>
        <v>29.550766666666664</v>
      </c>
      <c r="F67" s="2">
        <f>(0.334*0.5^((C67+5)/6.31))*'EF Adjustment Table'!I$16</f>
        <v>9.940311079122275E-5</v>
      </c>
      <c r="G67" s="8">
        <f t="shared" si="15"/>
        <v>0.13253748105496369</v>
      </c>
      <c r="H67" s="2">
        <f>IF(Calculator!$E$11='GWP reference values'!$C$6,G67*'GWP reference values'!$D$6/1000,IF(Calculator!$E$11='GWP reference values'!$C$7,G67*'GWP reference values'!$D$7/1000,IF(Calculator!$E$11='GWP reference values'!$C$8,G67*'GWP reference values'!$D$8/1000,"Error")))</f>
        <v>3.7110494695389833E-3</v>
      </c>
      <c r="I67" s="2">
        <f t="shared" si="8"/>
        <v>29.554477716136205</v>
      </c>
      <c r="J67" s="3">
        <f t="shared" si="9"/>
        <v>73</v>
      </c>
    </row>
    <row r="68" spans="3:10" x14ac:dyDescent="0.25">
      <c r="C68" s="3">
        <v>74</v>
      </c>
      <c r="D68" s="3">
        <f t="shared" si="13"/>
        <v>8.1933999999999987</v>
      </c>
      <c r="E68" s="3">
        <f t="shared" si="14"/>
        <v>30.042466666666659</v>
      </c>
      <c r="F68" s="2">
        <f>(0.334*0.5^((C68+5)/6.31))*'EF Adjustment Table'!I$16</f>
        <v>8.9062147303602024E-5</v>
      </c>
      <c r="G68" s="8">
        <f t="shared" si="15"/>
        <v>0.11874952973813603</v>
      </c>
      <c r="H68" s="2">
        <f>IF(Calculator!$E$11='GWP reference values'!$C$6,G68*'GWP reference values'!$D$6/1000,IF(Calculator!$E$11='GWP reference values'!$C$7,G68*'GWP reference values'!$D$7/1000,IF(Calculator!$E$11='GWP reference values'!$C$8,G68*'GWP reference values'!$D$8/1000,"Error")))</f>
        <v>3.3249868326678091E-3</v>
      </c>
      <c r="I68" s="2">
        <f t="shared" si="8"/>
        <v>30.045791653499325</v>
      </c>
      <c r="J68" s="3">
        <f t="shared" si="9"/>
        <v>74</v>
      </c>
    </row>
    <row r="69" spans="3:10" x14ac:dyDescent="0.25">
      <c r="C69" s="3">
        <v>75</v>
      </c>
      <c r="D69" s="3">
        <f t="shared" si="13"/>
        <v>8.3274999999999988</v>
      </c>
      <c r="E69" s="3">
        <f t="shared" si="14"/>
        <v>30.534166666666664</v>
      </c>
      <c r="F69" s="2">
        <f>(0.334*0.5^((C69+5)/6.31))*'EF Adjustment Table'!I$16</f>
        <v>7.9796960268057365E-5</v>
      </c>
      <c r="G69" s="8">
        <f t="shared" si="15"/>
        <v>0.1063959470240765</v>
      </c>
      <c r="H69" s="2">
        <f>IF(Calculator!$E$11='GWP reference values'!$C$6,G69*'GWP reference values'!$D$6/1000,IF(Calculator!$E$11='GWP reference values'!$C$7,G69*'GWP reference values'!$D$7/1000,IF(Calculator!$E$11='GWP reference values'!$C$8,G69*'GWP reference values'!$D$8/1000,"Error")))</f>
        <v>2.979086516674142E-3</v>
      </c>
      <c r="I69" s="2">
        <f t="shared" si="8"/>
        <v>30.537145753183339</v>
      </c>
      <c r="J69" s="3">
        <f t="shared" si="9"/>
        <v>75</v>
      </c>
    </row>
    <row r="70" spans="3:10" x14ac:dyDescent="0.25">
      <c r="C70" s="3">
        <v>76</v>
      </c>
      <c r="D70" s="3">
        <f t="shared" si="13"/>
        <v>8.4615999999999989</v>
      </c>
      <c r="E70" s="3">
        <f t="shared" si="14"/>
        <v>31.025866666666666</v>
      </c>
      <c r="F70" s="2">
        <f>(0.334*0.5^((C70+5)/6.31))*'EF Adjustment Table'!I$16</f>
        <v>7.1495636033967294E-5</v>
      </c>
      <c r="G70" s="8">
        <f t="shared" si="15"/>
        <v>9.5327514711956385E-2</v>
      </c>
      <c r="H70" s="2">
        <f>IF(Calculator!$E$11='GWP reference values'!$C$6,G70*'GWP reference values'!$D$6/1000,IF(Calculator!$E$11='GWP reference values'!$C$7,G70*'GWP reference values'!$D$7/1000,IF(Calculator!$E$11='GWP reference values'!$C$8,G70*'GWP reference values'!$D$8/1000,"Error")))</f>
        <v>2.669170411934779E-3</v>
      </c>
      <c r="I70" s="2">
        <f t="shared" si="8"/>
        <v>31.0285358370786</v>
      </c>
      <c r="J70" s="3">
        <f t="shared" si="9"/>
        <v>76</v>
      </c>
    </row>
    <row r="71" spans="3:10" x14ac:dyDescent="0.25">
      <c r="C71" s="3">
        <v>77</v>
      </c>
      <c r="D71" s="3">
        <f t="shared" si="13"/>
        <v>8.595699999999999</v>
      </c>
      <c r="E71" s="3">
        <f t="shared" si="14"/>
        <v>31.51756666666666</v>
      </c>
      <c r="F71" s="2">
        <f>(0.334*0.5^((C71+5)/6.31))*'EF Adjustment Table'!I$16</f>
        <v>6.405790339294056E-5</v>
      </c>
      <c r="G71" s="8">
        <f t="shared" si="15"/>
        <v>8.5410537857254068E-2</v>
      </c>
      <c r="H71" s="2">
        <f>IF(Calculator!$E$11='GWP reference values'!$C$6,G71*'GWP reference values'!$D$6/1000,IF(Calculator!$E$11='GWP reference values'!$C$7,G71*'GWP reference values'!$D$7/1000,IF(Calculator!$E$11='GWP reference values'!$C$8,G71*'GWP reference values'!$D$8/1000,"Error")))</f>
        <v>2.391495060003114E-3</v>
      </c>
      <c r="I71" s="2">
        <f t="shared" si="8"/>
        <v>31.519958161726663</v>
      </c>
      <c r="J71" s="3">
        <f t="shared" si="9"/>
        <v>77</v>
      </c>
    </row>
    <row r="72" spans="3:10" x14ac:dyDescent="0.25">
      <c r="C72" s="3">
        <v>78</v>
      </c>
      <c r="D72" s="3">
        <f t="shared" si="13"/>
        <v>8.7297999999999991</v>
      </c>
      <c r="E72" s="3">
        <f t="shared" si="14"/>
        <v>32.009266666666662</v>
      </c>
      <c r="F72" s="2">
        <f>(0.334*0.5^((C72+5)/6.31))*'EF Adjustment Table'!I$16</f>
        <v>5.7393922408771744E-5</v>
      </c>
      <c r="G72" s="8">
        <f t="shared" si="15"/>
        <v>7.6525229878362327E-2</v>
      </c>
      <c r="H72" s="2">
        <f>IF(Calculator!$E$11='GWP reference values'!$C$6,G72*'GWP reference values'!$D$6/1000,IF(Calculator!$E$11='GWP reference values'!$C$7,G72*'GWP reference values'!$D$7/1000,IF(Calculator!$E$11='GWP reference values'!$C$8,G72*'GWP reference values'!$D$8/1000,"Error")))</f>
        <v>2.1427064365941452E-3</v>
      </c>
      <c r="I72" s="2">
        <f t="shared" si="8"/>
        <v>32.011409373103255</v>
      </c>
      <c r="J72" s="3">
        <f t="shared" si="9"/>
        <v>78</v>
      </c>
    </row>
    <row r="73" spans="3:10" x14ac:dyDescent="0.25">
      <c r="C73" s="3">
        <v>79</v>
      </c>
      <c r="D73" s="3">
        <f t="shared" si="13"/>
        <v>8.8638999999999992</v>
      </c>
      <c r="E73" s="3">
        <f t="shared" si="14"/>
        <v>32.500966666666663</v>
      </c>
      <c r="F73" s="2">
        <f>(0.334*0.5^((C73+5)/6.31))*'EF Adjustment Table'!I$16</f>
        <v>5.1423199246123478E-5</v>
      </c>
      <c r="G73" s="8">
        <f t="shared" si="15"/>
        <v>6.8564265661497967E-2</v>
      </c>
      <c r="H73" s="2">
        <f>IF(Calculator!$E$11='GWP reference values'!$C$6,G73*'GWP reference values'!$D$6/1000,IF(Calculator!$E$11='GWP reference values'!$C$7,G73*'GWP reference values'!$D$7/1000,IF(Calculator!$E$11='GWP reference values'!$C$8,G73*'GWP reference values'!$D$8/1000,"Error")))</f>
        <v>1.919799438521943E-3</v>
      </c>
      <c r="I73" s="2">
        <f t="shared" si="8"/>
        <v>32.502886466105188</v>
      </c>
      <c r="J73" s="3">
        <f t="shared" si="9"/>
        <v>79</v>
      </c>
    </row>
    <row r="74" spans="3:10" x14ac:dyDescent="0.25">
      <c r="C74" s="3">
        <v>80</v>
      </c>
      <c r="D74" s="3">
        <f t="shared" si="13"/>
        <v>8.9979999999999993</v>
      </c>
      <c r="E74" s="3">
        <f t="shared" si="14"/>
        <v>32.992666666666665</v>
      </c>
      <c r="F74" s="2">
        <f>(0.334*0.5^((C74+5)/6.31))*'EF Adjustment Table'!I$16</f>
        <v>4.6073613890211544E-5</v>
      </c>
      <c r="G74" s="8">
        <f t="shared" si="15"/>
        <v>6.1431485186948721E-2</v>
      </c>
      <c r="H74" s="2">
        <f>IF(Calculator!$E$11='GWP reference values'!$C$6,G74*'GWP reference values'!$D$6/1000,IF(Calculator!$E$11='GWP reference values'!$C$7,G74*'GWP reference values'!$D$7/1000,IF(Calculator!$E$11='GWP reference values'!$C$8,G74*'GWP reference values'!$D$8/1000,"Error")))</f>
        <v>1.7200815852345642E-3</v>
      </c>
      <c r="I74" s="2">
        <f t="shared" si="8"/>
        <v>32.994386748251898</v>
      </c>
      <c r="J74" s="3">
        <f t="shared" si="9"/>
        <v>80</v>
      </c>
    </row>
    <row r="75" spans="3:10" x14ac:dyDescent="0.25">
      <c r="C75" s="3">
        <v>81</v>
      </c>
      <c r="D75" s="3">
        <f t="shared" si="13"/>
        <v>9.1320999999999994</v>
      </c>
      <c r="E75" s="3">
        <f t="shared" si="14"/>
        <v>33.484366666666666</v>
      </c>
      <c r="F75" s="2">
        <f>(0.334*0.5^((C75+5)/6.31))*'EF Adjustment Table'!I$16</f>
        <v>4.1280549013377835E-5</v>
      </c>
      <c r="G75" s="8">
        <f t="shared" si="15"/>
        <v>5.5040732017837109E-2</v>
      </c>
      <c r="H75" s="2">
        <f>IF(Calculator!$E$11='GWP reference values'!$C$6,G75*'GWP reference values'!$D$6/1000,IF(Calculator!$E$11='GWP reference values'!$C$7,G75*'GWP reference values'!$D$7/1000,IF(Calculator!$E$11='GWP reference values'!$C$8,G75*'GWP reference values'!$D$8/1000,"Error")))</f>
        <v>1.5411404964994391E-3</v>
      </c>
      <c r="I75" s="2">
        <f t="shared" ref="I75:I94" si="16">SUM(H75,E75)</f>
        <v>33.485907807163166</v>
      </c>
      <c r="J75" s="3">
        <f t="shared" ref="J75:J94" si="17">C75</f>
        <v>81</v>
      </c>
    </row>
    <row r="76" spans="3:10" x14ac:dyDescent="0.25">
      <c r="C76" s="3">
        <v>82</v>
      </c>
      <c r="D76" s="3">
        <f t="shared" si="13"/>
        <v>9.2661999999999995</v>
      </c>
      <c r="E76" s="3">
        <f t="shared" si="14"/>
        <v>33.976066666666668</v>
      </c>
      <c r="F76" s="2">
        <f>(0.334*0.5^((C76+5)/6.31))*'EF Adjustment Table'!I$16</f>
        <v>3.6986109466180364E-5</v>
      </c>
      <c r="G76" s="8">
        <f t="shared" si="15"/>
        <v>4.9314812621573813E-2</v>
      </c>
      <c r="H76" s="2">
        <f>IF(Calculator!$E$11='GWP reference values'!$C$6,G76*'GWP reference values'!$D$6/1000,IF(Calculator!$E$11='GWP reference values'!$C$7,G76*'GWP reference values'!$D$7/1000,IF(Calculator!$E$11='GWP reference values'!$C$8,G76*'GWP reference values'!$D$8/1000,"Error")))</f>
        <v>1.3808147534040667E-3</v>
      </c>
      <c r="I76" s="2">
        <f t="shared" si="16"/>
        <v>33.977447481420072</v>
      </c>
      <c r="J76" s="3">
        <f t="shared" si="17"/>
        <v>82</v>
      </c>
    </row>
    <row r="77" spans="3:10" x14ac:dyDescent="0.25">
      <c r="C77" s="3">
        <v>83</v>
      </c>
      <c r="D77" s="3">
        <f t="shared" si="13"/>
        <v>9.4002999999999997</v>
      </c>
      <c r="E77" s="3">
        <f t="shared" si="14"/>
        <v>34.467766666666662</v>
      </c>
      <c r="F77" s="2">
        <f>(0.334*0.5^((C77+5)/6.31))*'EF Adjustment Table'!I$16</f>
        <v>3.3138422965279771E-5</v>
      </c>
      <c r="G77" s="8">
        <f t="shared" si="15"/>
        <v>4.4184563953706367E-2</v>
      </c>
      <c r="H77" s="2">
        <f>IF(Calculator!$E$11='GWP reference values'!$C$6,G77*'GWP reference values'!$D$6/1000,IF(Calculator!$E$11='GWP reference values'!$C$7,G77*'GWP reference values'!$D$7/1000,IF(Calculator!$E$11='GWP reference values'!$C$8,G77*'GWP reference values'!$D$8/1000,"Error")))</f>
        <v>1.2371677907037784E-3</v>
      </c>
      <c r="I77" s="2">
        <f t="shared" si="16"/>
        <v>34.469003834457368</v>
      </c>
      <c r="J77" s="3">
        <f t="shared" si="17"/>
        <v>83</v>
      </c>
    </row>
    <row r="78" spans="3:10" x14ac:dyDescent="0.25">
      <c r="C78" s="3">
        <v>84</v>
      </c>
      <c r="D78" s="3">
        <f t="shared" si="13"/>
        <v>9.5343999999999998</v>
      </c>
      <c r="E78" s="3">
        <f t="shared" si="14"/>
        <v>34.959466666666664</v>
      </c>
      <c r="F78" s="2">
        <f>(0.334*0.5^((C78+5)/6.31))*'EF Adjustment Table'!I$16</f>
        <v>2.9691013531172311E-5</v>
      </c>
      <c r="G78" s="8">
        <f t="shared" si="15"/>
        <v>3.9588018041563082E-2</v>
      </c>
      <c r="H78" s="2">
        <f>IF(Calculator!$E$11='GWP reference values'!$C$6,G78*'GWP reference values'!$D$6/1000,IF(Calculator!$E$11='GWP reference values'!$C$7,G78*'GWP reference values'!$D$7/1000,IF(Calculator!$E$11='GWP reference values'!$C$8,G78*'GWP reference values'!$D$8/1000,"Error")))</f>
        <v>1.1084645051637663E-3</v>
      </c>
      <c r="I78" s="2">
        <f t="shared" si="16"/>
        <v>34.960575131171829</v>
      </c>
      <c r="J78" s="3">
        <f t="shared" si="17"/>
        <v>84</v>
      </c>
    </row>
    <row r="79" spans="3:10" x14ac:dyDescent="0.25">
      <c r="C79" s="3">
        <v>85</v>
      </c>
      <c r="D79" s="3">
        <f t="shared" si="13"/>
        <v>9.6684999999999999</v>
      </c>
      <c r="E79" s="3">
        <f t="shared" si="14"/>
        <v>35.451166666666666</v>
      </c>
      <c r="F79" s="2">
        <f>(0.334*0.5^((C79+5)/6.31))*'EF Adjustment Table'!I$16</f>
        <v>2.6602240107560083E-5</v>
      </c>
      <c r="G79" s="8">
        <f t="shared" si="15"/>
        <v>3.5469653476746778E-2</v>
      </c>
      <c r="H79" s="2">
        <f>IF(Calculator!$E$11='GWP reference values'!$C$6,G79*'GWP reference values'!$D$6/1000,IF(Calculator!$E$11='GWP reference values'!$C$7,G79*'GWP reference values'!$D$7/1000,IF(Calculator!$E$11='GWP reference values'!$C$8,G79*'GWP reference values'!$D$8/1000,"Error")))</f>
        <v>9.9315029734890975E-4</v>
      </c>
      <c r="I79" s="2">
        <f t="shared" si="16"/>
        <v>35.452159816964013</v>
      </c>
      <c r="J79" s="3">
        <f t="shared" si="17"/>
        <v>85</v>
      </c>
    </row>
    <row r="80" spans="3:10" x14ac:dyDescent="0.25">
      <c r="C80" s="3">
        <v>86</v>
      </c>
      <c r="D80" s="3">
        <f t="shared" si="13"/>
        <v>9.8026</v>
      </c>
      <c r="E80" s="3">
        <f t="shared" si="14"/>
        <v>35.942866666666667</v>
      </c>
      <c r="F80" s="2">
        <f>(0.334*0.5^((C80+5)/6.31))*'EF Adjustment Table'!I$16</f>
        <v>2.3834793581475215E-5</v>
      </c>
      <c r="G80" s="8">
        <f t="shared" si="15"/>
        <v>3.1779724775300285E-2</v>
      </c>
      <c r="H80" s="2">
        <f>IF(Calculator!$E$11='GWP reference values'!$C$6,G80*'GWP reference values'!$D$6/1000,IF(Calculator!$E$11='GWP reference values'!$C$7,G80*'GWP reference values'!$D$7/1000,IF(Calculator!$E$11='GWP reference values'!$C$8,G80*'GWP reference values'!$D$8/1000,"Error")))</f>
        <v>8.8983229370840798E-4</v>
      </c>
      <c r="I80" s="2">
        <f t="shared" si="16"/>
        <v>35.943756498960376</v>
      </c>
      <c r="J80" s="3">
        <f t="shared" si="17"/>
        <v>86</v>
      </c>
    </row>
    <row r="81" spans="2:10" x14ac:dyDescent="0.25">
      <c r="C81" s="3">
        <v>87</v>
      </c>
      <c r="D81" s="3">
        <f t="shared" si="13"/>
        <v>9.9367000000000001</v>
      </c>
      <c r="E81" s="3">
        <f t="shared" si="14"/>
        <v>36.434566666666669</v>
      </c>
      <c r="F81" s="2">
        <f>(0.334*0.5^((C81+5)/6.31))*'EF Adjustment Table'!I$16</f>
        <v>2.1355246128692925E-5</v>
      </c>
      <c r="G81" s="8">
        <f t="shared" si="15"/>
        <v>2.8473661504923902E-2</v>
      </c>
      <c r="H81" s="2">
        <f>IF(Calculator!$E$11='GWP reference values'!$C$6,G81*'GWP reference values'!$D$6/1000,IF(Calculator!$E$11='GWP reference values'!$C$7,G81*'GWP reference values'!$D$7/1000,IF(Calculator!$E$11='GWP reference values'!$C$8,G81*'GWP reference values'!$D$8/1000,"Error")))</f>
        <v>7.9726252213786926E-4</v>
      </c>
      <c r="I81" s="2">
        <f t="shared" si="16"/>
        <v>36.43536392918881</v>
      </c>
      <c r="J81" s="3">
        <f t="shared" si="17"/>
        <v>87</v>
      </c>
    </row>
    <row r="82" spans="2:10" x14ac:dyDescent="0.25">
      <c r="C82" s="3">
        <v>88</v>
      </c>
      <c r="D82" s="3">
        <f t="shared" si="13"/>
        <v>10.070799999999998</v>
      </c>
      <c r="E82" s="3">
        <f t="shared" si="14"/>
        <v>36.926266666666656</v>
      </c>
      <c r="F82" s="2">
        <f>(0.334*0.5^((C82+5)/6.31))*'EF Adjustment Table'!I$16</f>
        <v>1.9133647441004104E-5</v>
      </c>
      <c r="G82" s="8">
        <f t="shared" si="15"/>
        <v>2.5511529921338805E-2</v>
      </c>
      <c r="H82" s="2">
        <f>IF(Calculator!$E$11='GWP reference values'!$C$6,G82*'GWP reference values'!$D$6/1000,IF(Calculator!$E$11='GWP reference values'!$C$7,G82*'GWP reference values'!$D$7/1000,IF(Calculator!$E$11='GWP reference values'!$C$8,G82*'GWP reference values'!$D$8/1000,"Error")))</f>
        <v>7.1432283779748653E-4</v>
      </c>
      <c r="I82" s="2">
        <f t="shared" si="16"/>
        <v>36.92698098950445</v>
      </c>
      <c r="J82" s="3">
        <f t="shared" si="17"/>
        <v>88</v>
      </c>
    </row>
    <row r="83" spans="2:10" x14ac:dyDescent="0.25">
      <c r="C83" s="3">
        <v>89</v>
      </c>
      <c r="D83" s="3">
        <f t="shared" si="13"/>
        <v>10.204899999999999</v>
      </c>
      <c r="E83" s="3">
        <f t="shared" si="14"/>
        <v>37.417966666666658</v>
      </c>
      <c r="F83" s="2">
        <f>(0.334*0.5^((C83+5)/6.31))*'EF Adjustment Table'!I$16</f>
        <v>1.7143162958199518E-5</v>
      </c>
      <c r="G83" s="8">
        <f t="shared" si="15"/>
        <v>2.2857550610932687E-2</v>
      </c>
      <c r="H83" s="2">
        <f>IF(Calculator!$E$11='GWP reference values'!$C$6,G83*'GWP reference values'!$D$6/1000,IF(Calculator!$E$11='GWP reference values'!$C$7,G83*'GWP reference values'!$D$7/1000,IF(Calculator!$E$11='GWP reference values'!$C$8,G83*'GWP reference values'!$D$8/1000,"Error")))</f>
        <v>6.4001141710611517E-4</v>
      </c>
      <c r="I83" s="2">
        <f t="shared" si="16"/>
        <v>37.418606678083762</v>
      </c>
      <c r="J83" s="3">
        <f t="shared" si="17"/>
        <v>89</v>
      </c>
    </row>
    <row r="84" spans="2:10" x14ac:dyDescent="0.25">
      <c r="C84" s="3">
        <v>90</v>
      </c>
      <c r="D84" s="3">
        <f t="shared" si="13"/>
        <v>10.338999999999999</v>
      </c>
      <c r="E84" s="3">
        <f t="shared" si="14"/>
        <v>37.909666666666666</v>
      </c>
      <c r="F84" s="2">
        <f>(0.334*0.5^((C84+5)/6.31))*'EF Adjustment Table'!I$16</f>
        <v>1.5359749734991548E-5</v>
      </c>
      <c r="G84" s="8">
        <f t="shared" si="15"/>
        <v>2.0479666313322063E-2</v>
      </c>
      <c r="H84" s="2">
        <f>IF(Calculator!$E$11='GWP reference values'!$C$6,G84*'GWP reference values'!$D$6/1000,IF(Calculator!$E$11='GWP reference values'!$C$7,G84*'GWP reference values'!$D$7/1000,IF(Calculator!$E$11='GWP reference values'!$C$8,G84*'GWP reference values'!$D$8/1000,"Error")))</f>
        <v>5.734306567730178E-4</v>
      </c>
      <c r="I84" s="2">
        <f t="shared" si="16"/>
        <v>37.910240097323438</v>
      </c>
      <c r="J84" s="3">
        <f t="shared" si="17"/>
        <v>90</v>
      </c>
    </row>
    <row r="85" spans="2:10" x14ac:dyDescent="0.25">
      <c r="C85" s="3">
        <v>91</v>
      </c>
      <c r="D85" s="3">
        <f t="shared" si="13"/>
        <v>10.473099999999999</v>
      </c>
      <c r="E85" s="3">
        <f t="shared" si="14"/>
        <v>38.401366666666661</v>
      </c>
      <c r="F85" s="2">
        <f>(0.334*0.5^((C85+5)/6.31))*'EF Adjustment Table'!I$16</f>
        <v>1.3761866027688446E-5</v>
      </c>
      <c r="G85" s="8">
        <f t="shared" si="15"/>
        <v>1.8349154703584596E-2</v>
      </c>
      <c r="H85" s="2">
        <f>IF(Calculator!$E$11='GWP reference values'!$C$6,G85*'GWP reference values'!$D$6/1000,IF(Calculator!$E$11='GWP reference values'!$C$7,G85*'GWP reference values'!$D$7/1000,IF(Calculator!$E$11='GWP reference values'!$C$8,G85*'GWP reference values'!$D$8/1000,"Error")))</f>
        <v>5.1377633170036875E-4</v>
      </c>
      <c r="I85" s="2">
        <f t="shared" si="16"/>
        <v>38.401880442998362</v>
      </c>
      <c r="J85" s="3">
        <f t="shared" si="17"/>
        <v>91</v>
      </c>
    </row>
    <row r="86" spans="2:10" x14ac:dyDescent="0.25">
      <c r="C86" s="3">
        <v>92</v>
      </c>
      <c r="D86" s="3">
        <f t="shared" si="13"/>
        <v>10.607199999999999</v>
      </c>
      <c r="E86" s="3">
        <f t="shared" si="14"/>
        <v>38.893066666666662</v>
      </c>
      <c r="F86" s="2">
        <f>(0.334*0.5^((C86+5)/6.31))*'EF Adjustment Table'!I$16</f>
        <v>1.2330211092736246E-5</v>
      </c>
      <c r="G86" s="8">
        <f t="shared" si="15"/>
        <v>1.6440281456981662E-2</v>
      </c>
      <c r="H86" s="2">
        <f>IF(Calculator!$E$11='GWP reference values'!$C$6,G86*'GWP reference values'!$D$6/1000,IF(Calculator!$E$11='GWP reference values'!$C$7,G86*'GWP reference values'!$D$7/1000,IF(Calculator!$E$11='GWP reference values'!$C$8,G86*'GWP reference values'!$D$8/1000,"Error")))</f>
        <v>4.6032788079548653E-4</v>
      </c>
      <c r="I86" s="2">
        <f t="shared" si="16"/>
        <v>38.893526994547457</v>
      </c>
      <c r="J86" s="3">
        <f t="shared" si="17"/>
        <v>92</v>
      </c>
    </row>
    <row r="87" spans="2:10" x14ac:dyDescent="0.25">
      <c r="C87" s="3">
        <v>93</v>
      </c>
      <c r="D87" s="3">
        <f t="shared" si="13"/>
        <v>10.741299999999999</v>
      </c>
      <c r="E87" s="3">
        <f t="shared" si="14"/>
        <v>39.384766666666664</v>
      </c>
      <c r="F87" s="2">
        <f>(0.334*0.5^((C87+5)/6.31))*'EF Adjustment Table'!I$16</f>
        <v>1.1047492054169677E-5</v>
      </c>
      <c r="G87" s="8">
        <f t="shared" si="15"/>
        <v>1.4729989405559569E-2</v>
      </c>
      <c r="H87" s="2">
        <f>IF(Calculator!$E$11='GWP reference values'!$C$6,G87*'GWP reference values'!$D$6/1000,IF(Calculator!$E$11='GWP reference values'!$C$7,G87*'GWP reference values'!$D$7/1000,IF(Calculator!$E$11='GWP reference values'!$C$8,G87*'GWP reference values'!$D$8/1000,"Error")))</f>
        <v>4.1243970335566794E-4</v>
      </c>
      <c r="I87" s="2">
        <f t="shared" si="16"/>
        <v>39.385179106370018</v>
      </c>
      <c r="J87" s="3">
        <f t="shared" si="17"/>
        <v>93</v>
      </c>
    </row>
    <row r="88" spans="2:10" x14ac:dyDescent="0.25">
      <c r="C88" s="3">
        <v>94</v>
      </c>
      <c r="D88" s="3">
        <f t="shared" ref="D88:D93" si="18">0.1341*C88-1.73</f>
        <v>10.875399999999999</v>
      </c>
      <c r="E88" s="3">
        <f t="shared" ref="E88:E93" si="19">D88/12*44</f>
        <v>39.876466666666659</v>
      </c>
      <c r="F88" s="2">
        <f>(0.334*0.5^((C88+5)/6.31))*'EF Adjustment Table'!I$16</f>
        <v>9.8982150239780193E-6</v>
      </c>
      <c r="G88" s="8">
        <f t="shared" ref="G88:G93" si="20">F88*1000*16/12</f>
        <v>1.3197620031970692E-2</v>
      </c>
      <c r="H88" s="2">
        <f>IF(Calculator!$E$11='GWP reference values'!$C$6,G88*'GWP reference values'!$D$6/1000,IF(Calculator!$E$11='GWP reference values'!$C$7,G88*'GWP reference values'!$D$7/1000,IF(Calculator!$E$11='GWP reference values'!$C$8,G88*'GWP reference values'!$D$8/1000,"Error")))</f>
        <v>3.6953336089517937E-4</v>
      </c>
      <c r="I88" s="2">
        <f t="shared" si="16"/>
        <v>39.876836200027554</v>
      </c>
      <c r="J88" s="3">
        <f t="shared" si="17"/>
        <v>94</v>
      </c>
    </row>
    <row r="89" spans="2:10" x14ac:dyDescent="0.25">
      <c r="C89" s="3">
        <v>95</v>
      </c>
      <c r="D89" s="3">
        <f t="shared" si="18"/>
        <v>11.009499999999999</v>
      </c>
      <c r="E89" s="3">
        <f t="shared" si="19"/>
        <v>40.368166666666667</v>
      </c>
      <c r="F89" s="2">
        <f>(0.334*0.5^((C89+5)/6.31))*'EF Adjustment Table'!I$16</f>
        <v>8.868497952340725E-6</v>
      </c>
      <c r="G89" s="8">
        <f t="shared" si="20"/>
        <v>1.18246639364543E-2</v>
      </c>
      <c r="H89" s="2">
        <f>IF(Calculator!$E$11='GWP reference values'!$C$6,G89*'GWP reference values'!$D$6/1000,IF(Calculator!$E$11='GWP reference values'!$C$7,G89*'GWP reference values'!$D$7/1000,IF(Calculator!$E$11='GWP reference values'!$C$8,G89*'GWP reference values'!$D$8/1000,"Error")))</f>
        <v>3.3109059022072042E-4</v>
      </c>
      <c r="I89" s="2">
        <f t="shared" si="16"/>
        <v>40.36849775725689</v>
      </c>
      <c r="J89" s="3">
        <f t="shared" si="17"/>
        <v>95</v>
      </c>
    </row>
    <row r="90" spans="2:10" x14ac:dyDescent="0.25">
      <c r="C90" s="3">
        <v>96</v>
      </c>
      <c r="D90" s="3">
        <f t="shared" si="18"/>
        <v>11.143599999999999</v>
      </c>
      <c r="E90" s="3">
        <f t="shared" si="19"/>
        <v>40.859866666666669</v>
      </c>
      <c r="F90" s="2">
        <f>(0.334*0.5^((C90+5)/6.31))*'EF Adjustment Table'!I$16</f>
        <v>7.9459029471621486E-6</v>
      </c>
      <c r="G90" s="8">
        <f t="shared" si="20"/>
        <v>1.0594537262882864E-2</v>
      </c>
      <c r="H90" s="2">
        <f>IF(Calculator!$E$11='GWP reference values'!$C$6,G90*'GWP reference values'!$D$6/1000,IF(Calculator!$E$11='GWP reference values'!$C$7,G90*'GWP reference values'!$D$7/1000,IF(Calculator!$E$11='GWP reference values'!$C$8,G90*'GWP reference values'!$D$8/1000,"Error")))</f>
        <v>2.9664704336072016E-4</v>
      </c>
      <c r="I90" s="2">
        <f t="shared" si="16"/>
        <v>40.860163313710032</v>
      </c>
      <c r="J90" s="3">
        <f t="shared" si="17"/>
        <v>96</v>
      </c>
    </row>
    <row r="91" spans="2:10" x14ac:dyDescent="0.25">
      <c r="C91" s="3">
        <v>97</v>
      </c>
      <c r="D91" s="3">
        <f t="shared" si="18"/>
        <v>11.277699999999999</v>
      </c>
      <c r="E91" s="3">
        <f t="shared" si="19"/>
        <v>41.351566666666663</v>
      </c>
      <c r="F91" s="2">
        <f>(0.334*0.5^((C91+5)/6.31))*'EF Adjustment Table'!I$16</f>
        <v>7.1192860375026343E-6</v>
      </c>
      <c r="G91" s="8">
        <f t="shared" si="20"/>
        <v>9.492381383336846E-3</v>
      </c>
      <c r="H91" s="2">
        <f>IF(Calculator!$E$11='GWP reference values'!$C$6,G91*'GWP reference values'!$D$6/1000,IF(Calculator!$E$11='GWP reference values'!$C$7,G91*'GWP reference values'!$D$7/1000,IF(Calculator!$E$11='GWP reference values'!$C$8,G91*'GWP reference values'!$D$8/1000,"Error")))</f>
        <v>2.6578667873343171E-4</v>
      </c>
      <c r="I91" s="2">
        <f t="shared" si="16"/>
        <v>41.351832453345395</v>
      </c>
      <c r="J91" s="3">
        <f t="shared" si="17"/>
        <v>97</v>
      </c>
    </row>
    <row r="92" spans="2:10" x14ac:dyDescent="0.25">
      <c r="C92" s="3">
        <v>98</v>
      </c>
      <c r="D92" s="3">
        <f t="shared" si="18"/>
        <v>11.411799999999999</v>
      </c>
      <c r="E92" s="3">
        <f t="shared" si="19"/>
        <v>41.843266666666665</v>
      </c>
      <c r="F92" s="2">
        <f>(0.334*0.5^((C92+5)/6.31))*'EF Adjustment Table'!I$16</f>
        <v>6.3786625662073735E-6</v>
      </c>
      <c r="G92" s="8">
        <f t="shared" si="20"/>
        <v>8.5048834216098317E-3</v>
      </c>
      <c r="H92" s="2">
        <f>IF(Calculator!$E$11='GWP reference values'!$C$6,G92*'GWP reference values'!$D$6/1000,IF(Calculator!$E$11='GWP reference values'!$C$7,G92*'GWP reference values'!$D$7/1000,IF(Calculator!$E$11='GWP reference values'!$C$8,G92*'GWP reference values'!$D$8/1000,"Error")))</f>
        <v>2.3813673580507527E-4</v>
      </c>
      <c r="I92" s="2">
        <f t="shared" si="16"/>
        <v>41.843504803402467</v>
      </c>
      <c r="J92" s="3">
        <f t="shared" si="17"/>
        <v>98</v>
      </c>
    </row>
    <row r="93" spans="2:10" x14ac:dyDescent="0.25">
      <c r="C93" s="3">
        <v>99</v>
      </c>
      <c r="D93" s="3">
        <f t="shared" si="18"/>
        <v>11.5459</v>
      </c>
      <c r="E93" s="3">
        <f t="shared" si="19"/>
        <v>42.334966666666666</v>
      </c>
      <c r="F93" s="2">
        <f>(0.334*0.5^((C93+5)/6.31))*'EF Adjustment Table'!I$16</f>
        <v>5.715086585818358E-6</v>
      </c>
      <c r="G93" s="8">
        <f t="shared" si="20"/>
        <v>7.6201154477578102E-3</v>
      </c>
      <c r="H93" s="2">
        <f>IF(Calculator!$E$11='GWP reference values'!$C$6,G93*'GWP reference values'!$D$6/1000,IF(Calculator!$E$11='GWP reference values'!$C$7,G93*'GWP reference values'!$D$7/1000,IF(Calculator!$E$11='GWP reference values'!$C$8,G93*'GWP reference values'!$D$8/1000,"Error")))</f>
        <v>2.1336323253721867E-4</v>
      </c>
      <c r="I93" s="2">
        <f t="shared" si="16"/>
        <v>42.335180029899206</v>
      </c>
      <c r="J93" s="3">
        <f t="shared" si="17"/>
        <v>99</v>
      </c>
    </row>
    <row r="94" spans="2:10" x14ac:dyDescent="0.25">
      <c r="B94" s="4"/>
      <c r="C94" s="14">
        <v>100</v>
      </c>
      <c r="D94" s="14">
        <f t="shared" si="0"/>
        <v>11.68</v>
      </c>
      <c r="E94" s="14">
        <f t="shared" si="1"/>
        <v>42.826666666666661</v>
      </c>
      <c r="F94" s="15">
        <f>(0.334*0.5^((C94+5)/6.31))*'EF Adjustment Table'!I$16</f>
        <v>5.120542800999934E-6</v>
      </c>
      <c r="G94" s="16">
        <f t="shared" si="2"/>
        <v>6.8273904013332462E-3</v>
      </c>
      <c r="H94" s="15">
        <f>IF(Calculator!$E$11='GWP reference values'!$C$6,G94*'GWP reference values'!$D$6/1000,IF(Calculator!$E$11='GWP reference values'!$C$7,G94*'GWP reference values'!$D$7/1000,IF(Calculator!$E$11='GWP reference values'!$C$8,G94*'GWP reference values'!$D$8/1000,"Error")))</f>
        <v>1.9116693123733089E-4</v>
      </c>
      <c r="I94" s="15">
        <f t="shared" si="16"/>
        <v>42.826857833597899</v>
      </c>
      <c r="J94" s="14">
        <f t="shared" si="17"/>
        <v>100</v>
      </c>
    </row>
    <row r="96" spans="2:10" x14ac:dyDescent="0.25">
      <c r="B96" t="s">
        <v>262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J96"/>
  <sheetViews>
    <sheetView workbookViewId="0">
      <selection activeCell="C8" sqref="C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264</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Table'!$D$17</f>
        <v>23.964476984611213</v>
      </c>
      <c r="D7" s="10">
        <f>0.1341*C7-1.73</f>
        <v>1.4836363636363639</v>
      </c>
      <c r="E7" s="10">
        <f>D7/12*44</f>
        <v>5.4400000000000013</v>
      </c>
      <c r="F7" s="11">
        <f>(0.334*0.5^((C7+5)/6.31))*'EF Adjustment Table'!I$17</f>
        <v>2.1713435669710245E-2</v>
      </c>
      <c r="G7" s="12">
        <f>F7*1000*16/12</f>
        <v>28.951247559613662</v>
      </c>
      <c r="H7" s="74">
        <f>IF(Calculator!$E$11='GWP reference values'!$C$6,G7*'GWP reference values'!$D$6/1000,IF(Calculator!$E$11='GWP reference values'!$C$7,G7*'GWP reference values'!$D$7/1000,IF(Calculator!$E$11='GWP reference values'!$C$8,G7*'GWP reference values'!$D$8/1000,"Error")))</f>
        <v>0.81063493166918266</v>
      </c>
      <c r="I7" s="74">
        <f>SUM(H7,E7)</f>
        <v>6.2506349316691843</v>
      </c>
      <c r="J7" s="3">
        <f>C7</f>
        <v>23.964476984611213</v>
      </c>
    </row>
    <row r="8" spans="2:10" x14ac:dyDescent="0.25">
      <c r="B8" s="1" t="s">
        <v>249</v>
      </c>
      <c r="C8" s="3">
        <v>14</v>
      </c>
      <c r="D8" s="3">
        <f t="shared" ref="D8:D94" si="0">0.1341*C8-1.73</f>
        <v>0.14739999999999998</v>
      </c>
      <c r="E8" s="3">
        <f t="shared" ref="E8:E94" si="1">D8/12*44</f>
        <v>0.54046666666666665</v>
      </c>
      <c r="F8" s="2">
        <f>(0.334*0.5^((C8+5)/6.31))*'EF Adjustment Table'!I$17</f>
        <v>6.4878678524844788E-2</v>
      </c>
      <c r="G8" s="8">
        <f t="shared" ref="G8:G94" si="2">F8*1000*16/12</f>
        <v>86.504904699793045</v>
      </c>
      <c r="H8" s="2">
        <f>IF(Calculator!$E$11='GWP reference values'!$C$6,G8*'GWP reference values'!$D$6/1000,IF(Calculator!$E$11='GWP reference values'!$C$7,G8*'GWP reference values'!$D$7/1000,IF(Calculator!$E$11='GWP reference values'!$C$8,G8*'GWP reference values'!$D$8/1000,"Error")))</f>
        <v>2.4221373315942052</v>
      </c>
      <c r="I8" s="2">
        <f>SUM(H8,E8)</f>
        <v>2.9626039982608718</v>
      </c>
      <c r="J8" s="67">
        <f>C8</f>
        <v>14</v>
      </c>
    </row>
    <row r="9" spans="2:10" x14ac:dyDescent="0.25">
      <c r="C9" s="3">
        <v>15</v>
      </c>
      <c r="D9" s="3">
        <f t="shared" ref="D9:D11" si="3">0.1341*C9-1.73</f>
        <v>0.28149999999999986</v>
      </c>
      <c r="E9" s="3">
        <f t="shared" ref="E9:E11" si="4">D9/12*44</f>
        <v>1.032166666666666</v>
      </c>
      <c r="F9" s="2">
        <f>(0.334*0.5^((C9+5)/6.31))*'EF Adjustment Table'!I$17</f>
        <v>5.812931182585266E-2</v>
      </c>
      <c r="G9" s="8">
        <f t="shared" ref="G9:G11" si="5">F9*1000*16/12</f>
        <v>77.505749101136885</v>
      </c>
      <c r="H9" s="2">
        <f>IF(Calculator!$E$11='GWP reference values'!$C$6,G9*'GWP reference values'!$D$6/1000,IF(Calculator!$E$11='GWP reference values'!$C$7,G9*'GWP reference values'!$D$7/1000,IF(Calculator!$E$11='GWP reference values'!$C$8,G9*'GWP reference values'!$D$8/1000,"Error")))</f>
        <v>2.1701609748318327</v>
      </c>
      <c r="I9" s="2">
        <f t="shared" ref="I9:I11" si="6">SUM(H9,E9)</f>
        <v>3.2023276414984987</v>
      </c>
      <c r="J9" s="3">
        <f t="shared" ref="J9:J11" si="7">C9</f>
        <v>15</v>
      </c>
    </row>
    <row r="10" spans="2:10" x14ac:dyDescent="0.25">
      <c r="C10" s="3">
        <v>16</v>
      </c>
      <c r="D10" s="3">
        <f t="shared" si="3"/>
        <v>0.41559999999999997</v>
      </c>
      <c r="E10" s="3">
        <f t="shared" si="4"/>
        <v>1.5238666666666665</v>
      </c>
      <c r="F10" s="2">
        <f>(0.334*0.5^((C10+5)/6.31))*'EF Adjustment Table'!I$17</f>
        <v>5.2082085674005275E-2</v>
      </c>
      <c r="G10" s="8">
        <f t="shared" si="5"/>
        <v>69.442780898673703</v>
      </c>
      <c r="H10" s="2">
        <f>IF(Calculator!$E$11='GWP reference values'!$C$6,G10*'GWP reference values'!$D$6/1000,IF(Calculator!$E$11='GWP reference values'!$C$7,G10*'GWP reference values'!$D$7/1000,IF(Calculator!$E$11='GWP reference values'!$C$8,G10*'GWP reference values'!$D$8/1000,"Error")))</f>
        <v>1.9443978651628635</v>
      </c>
      <c r="I10" s="2">
        <f t="shared" si="6"/>
        <v>3.4682645318295302</v>
      </c>
      <c r="J10" s="3">
        <f t="shared" si="7"/>
        <v>16</v>
      </c>
    </row>
    <row r="11" spans="2:10" x14ac:dyDescent="0.25">
      <c r="C11" s="3">
        <v>17</v>
      </c>
      <c r="D11" s="3">
        <f t="shared" si="3"/>
        <v>0.54970000000000008</v>
      </c>
      <c r="E11" s="3">
        <f t="shared" si="4"/>
        <v>2.015566666666667</v>
      </c>
      <c r="F11" s="2">
        <f>(0.334*0.5^((C11+5)/6.31))*'EF Adjustment Table'!I$17</f>
        <v>4.6663955979400359E-2</v>
      </c>
      <c r="G11" s="8">
        <f t="shared" si="5"/>
        <v>62.21860797253381</v>
      </c>
      <c r="H11" s="2">
        <f>IF(Calculator!$E$11='GWP reference values'!$C$6,G11*'GWP reference values'!$D$6/1000,IF(Calculator!$E$11='GWP reference values'!$C$7,G11*'GWP reference values'!$D$7/1000,IF(Calculator!$E$11='GWP reference values'!$C$8,G11*'GWP reference values'!$D$8/1000,"Error")))</f>
        <v>1.7421210232309468</v>
      </c>
      <c r="I11" s="2">
        <f t="shared" si="6"/>
        <v>3.7576876898976135</v>
      </c>
      <c r="J11" s="3">
        <f t="shared" si="7"/>
        <v>17</v>
      </c>
    </row>
    <row r="12" spans="2:10" x14ac:dyDescent="0.25">
      <c r="C12" s="3">
        <v>18</v>
      </c>
      <c r="D12" s="3">
        <f t="shared" ref="D12:D16" si="8">0.1341*C12-1.73</f>
        <v>0.68380000000000019</v>
      </c>
      <c r="E12" s="3">
        <f t="shared" ref="E12:E16" si="9">D12/12*44</f>
        <v>2.5072666666666676</v>
      </c>
      <c r="F12" s="2">
        <f>(0.334*0.5^((C12+5)/6.31))*'EF Adjustment Table'!I$17</f>
        <v>4.1809477471334087E-2</v>
      </c>
      <c r="G12" s="8">
        <f t="shared" ref="G12:G16" si="10">F12*1000*16/12</f>
        <v>55.745969961778776</v>
      </c>
      <c r="H12" s="2">
        <f>IF(Calculator!$E$11='GWP reference values'!$C$6,G12*'GWP reference values'!$D$6/1000,IF(Calculator!$E$11='GWP reference values'!$C$7,G12*'GWP reference values'!$D$7/1000,IF(Calculator!$E$11='GWP reference values'!$C$8,G12*'GWP reference values'!$D$8/1000,"Error")))</f>
        <v>1.5608871589298057</v>
      </c>
      <c r="I12" s="2">
        <f t="shared" ref="I12:I74" si="11">SUM(H12,E12)</f>
        <v>4.0681538255964735</v>
      </c>
      <c r="J12" s="3">
        <f t="shared" ref="J12:J74" si="12">C12</f>
        <v>18</v>
      </c>
    </row>
    <row r="13" spans="2:10" x14ac:dyDescent="0.25">
      <c r="C13" s="3">
        <v>19</v>
      </c>
      <c r="D13" s="3">
        <f t="shared" si="8"/>
        <v>0.81789999999999985</v>
      </c>
      <c r="E13" s="3">
        <f t="shared" si="9"/>
        <v>2.9989666666666661</v>
      </c>
      <c r="F13" s="2">
        <f>(0.334*0.5^((C13+5)/6.31))*'EF Adjustment Table'!I$17</f>
        <v>3.7460013188715828E-2</v>
      </c>
      <c r="G13" s="8">
        <f t="shared" si="10"/>
        <v>49.9466842516211</v>
      </c>
      <c r="H13" s="2">
        <f>IF(Calculator!$E$11='GWP reference values'!$C$6,G13*'GWP reference values'!$D$6/1000,IF(Calculator!$E$11='GWP reference values'!$C$7,G13*'GWP reference values'!$D$7/1000,IF(Calculator!$E$11='GWP reference values'!$C$8,G13*'GWP reference values'!$D$8/1000,"Error")))</f>
        <v>1.3985071590453908</v>
      </c>
      <c r="I13" s="2">
        <f t="shared" si="11"/>
        <v>4.3974738257120567</v>
      </c>
      <c r="J13" s="3">
        <f t="shared" si="12"/>
        <v>19</v>
      </c>
    </row>
    <row r="14" spans="2:10" x14ac:dyDescent="0.25">
      <c r="C14" s="3">
        <v>20</v>
      </c>
      <c r="D14" s="3">
        <f t="shared" si="8"/>
        <v>0.95199999999999996</v>
      </c>
      <c r="E14" s="3">
        <f t="shared" si="9"/>
        <v>3.4906666666666664</v>
      </c>
      <c r="F14" s="2">
        <f>(0.334*0.5^((C14+5)/6.31))*'EF Adjustment Table'!I$17</f>
        <v>3.3563026207655396E-2</v>
      </c>
      <c r="G14" s="8">
        <f t="shared" si="10"/>
        <v>44.750701610207194</v>
      </c>
      <c r="H14" s="2">
        <f>IF(Calculator!$E$11='GWP reference values'!$C$6,G14*'GWP reference values'!$D$6/1000,IF(Calculator!$E$11='GWP reference values'!$C$7,G14*'GWP reference values'!$D$7/1000,IF(Calculator!$E$11='GWP reference values'!$C$8,G14*'GWP reference values'!$D$8/1000,"Error")))</f>
        <v>1.2530196450858013</v>
      </c>
      <c r="I14" s="2">
        <f t="shared" si="11"/>
        <v>4.7436863117524677</v>
      </c>
      <c r="J14" s="3">
        <f t="shared" si="12"/>
        <v>20</v>
      </c>
    </row>
    <row r="15" spans="2:10" x14ac:dyDescent="0.25">
      <c r="C15" s="3">
        <v>21</v>
      </c>
      <c r="D15" s="3">
        <f t="shared" si="8"/>
        <v>1.0861000000000001</v>
      </c>
      <c r="E15" s="3">
        <f t="shared" si="9"/>
        <v>3.9823666666666671</v>
      </c>
      <c r="F15" s="2">
        <f>(0.334*0.5^((C15+5)/6.31))*'EF Adjustment Table'!I$17</f>
        <v>3.0071445051041635E-2</v>
      </c>
      <c r="G15" s="8">
        <f t="shared" si="10"/>
        <v>40.095260068055516</v>
      </c>
      <c r="H15" s="2">
        <f>IF(Calculator!$E$11='GWP reference values'!$C$6,G15*'GWP reference values'!$D$6/1000,IF(Calculator!$E$11='GWP reference values'!$C$7,G15*'GWP reference values'!$D$7/1000,IF(Calculator!$E$11='GWP reference values'!$C$8,G15*'GWP reference values'!$D$8/1000,"Error")))</f>
        <v>1.1226672819055545</v>
      </c>
      <c r="I15" s="2">
        <f t="shared" si="11"/>
        <v>5.1050339485722214</v>
      </c>
      <c r="J15" s="3">
        <f t="shared" si="12"/>
        <v>21</v>
      </c>
    </row>
    <row r="16" spans="2:10" x14ac:dyDescent="0.25">
      <c r="C16" s="3">
        <v>22</v>
      </c>
      <c r="D16" s="3">
        <f t="shared" si="8"/>
        <v>1.2201999999999997</v>
      </c>
      <c r="E16" s="3">
        <f t="shared" si="9"/>
        <v>4.4740666666666655</v>
      </c>
      <c r="F16" s="2">
        <f>(0.334*0.5^((C16+5)/6.31))*'EF Adjustment Table'!I$17</f>
        <v>2.6943095114932047E-2</v>
      </c>
      <c r="G16" s="8">
        <f t="shared" si="10"/>
        <v>35.924126819909397</v>
      </c>
      <c r="H16" s="2">
        <f>IF(Calculator!$E$11='GWP reference values'!$C$6,G16*'GWP reference values'!$D$6/1000,IF(Calculator!$E$11='GWP reference values'!$C$7,G16*'GWP reference values'!$D$7/1000,IF(Calculator!$E$11='GWP reference values'!$C$8,G16*'GWP reference values'!$D$8/1000,"Error")))</f>
        <v>1.0058755509574631</v>
      </c>
      <c r="I16" s="2">
        <f t="shared" si="11"/>
        <v>5.4799422176241288</v>
      </c>
      <c r="J16" s="3">
        <f t="shared" si="12"/>
        <v>22</v>
      </c>
    </row>
    <row r="17" spans="3:10" x14ac:dyDescent="0.25">
      <c r="C17" s="3">
        <v>23</v>
      </c>
      <c r="D17" s="3">
        <f t="shared" ref="D17:D19" si="13">0.1341*C17-1.73</f>
        <v>1.3542999999999998</v>
      </c>
      <c r="E17" s="3">
        <f t="shared" ref="E17:E19" si="14">D17/12*44</f>
        <v>4.9657666666666662</v>
      </c>
      <c r="F17" s="2">
        <f>(0.334*0.5^((C17+5)/6.31))*'EF Adjustment Table'!I$17</f>
        <v>2.4140189243986129E-2</v>
      </c>
      <c r="G17" s="8">
        <f t="shared" ref="G17:G19" si="15">F17*1000*16/12</f>
        <v>32.186918991981507</v>
      </c>
      <c r="H17" s="2">
        <f>IF(Calculator!$E$11='GWP reference values'!$C$6,G17*'GWP reference values'!$D$6/1000,IF(Calculator!$E$11='GWP reference values'!$C$7,G17*'GWP reference values'!$D$7/1000,IF(Calculator!$E$11='GWP reference values'!$C$8,G17*'GWP reference values'!$D$8/1000,"Error")))</f>
        <v>0.90123373177548216</v>
      </c>
      <c r="I17" s="2">
        <f t="shared" si="11"/>
        <v>5.8670003984421486</v>
      </c>
      <c r="J17" s="3">
        <f t="shared" si="12"/>
        <v>23</v>
      </c>
    </row>
    <row r="18" spans="3:10" x14ac:dyDescent="0.25">
      <c r="C18" s="3">
        <v>24</v>
      </c>
      <c r="D18" s="3">
        <f t="shared" si="13"/>
        <v>1.4883999999999999</v>
      </c>
      <c r="E18" s="3">
        <f t="shared" si="14"/>
        <v>5.4574666666666669</v>
      </c>
      <c r="F18" s="2">
        <f>(0.334*0.5^((C18+5)/6.31))*'EF Adjustment Table'!I$17</f>
        <v>2.1628871302632947E-2</v>
      </c>
      <c r="G18" s="8">
        <f t="shared" si="15"/>
        <v>28.838495070177263</v>
      </c>
      <c r="H18" s="2">
        <f>IF(Calculator!$E$11='GWP reference values'!$C$6,G18*'GWP reference values'!$D$6/1000,IF(Calculator!$E$11='GWP reference values'!$C$7,G18*'GWP reference values'!$D$7/1000,IF(Calculator!$E$11='GWP reference values'!$C$8,G18*'GWP reference values'!$D$8/1000,"Error")))</f>
        <v>0.80747786196496341</v>
      </c>
      <c r="I18" s="2">
        <f t="shared" si="11"/>
        <v>6.2649445286316308</v>
      </c>
      <c r="J18" s="3">
        <f t="shared" si="12"/>
        <v>24</v>
      </c>
    </row>
    <row r="19" spans="3:10" x14ac:dyDescent="0.25">
      <c r="C19" s="3">
        <v>25</v>
      </c>
      <c r="D19" s="3">
        <f t="shared" si="13"/>
        <v>1.6225000000000001</v>
      </c>
      <c r="E19" s="3">
        <f t="shared" si="14"/>
        <v>5.9491666666666676</v>
      </c>
      <c r="F19" s="2">
        <f>(0.334*0.5^((C19+5)/6.31))*'EF Adjustment Table'!I$17</f>
        <v>1.9378807228795879E-2</v>
      </c>
      <c r="G19" s="8">
        <f t="shared" si="15"/>
        <v>25.838409638394506</v>
      </c>
      <c r="H19" s="2">
        <f>IF(Calculator!$E$11='GWP reference values'!$C$6,G19*'GWP reference values'!$D$6/1000,IF(Calculator!$E$11='GWP reference values'!$C$7,G19*'GWP reference values'!$D$7/1000,IF(Calculator!$E$11='GWP reference values'!$C$8,G19*'GWP reference values'!$D$8/1000,"Error")))</f>
        <v>0.72347546987504618</v>
      </c>
      <c r="I19" s="2">
        <f t="shared" si="11"/>
        <v>6.6726421365417137</v>
      </c>
      <c r="J19" s="3">
        <f t="shared" si="12"/>
        <v>25</v>
      </c>
    </row>
    <row r="20" spans="3:10" x14ac:dyDescent="0.25">
      <c r="C20" s="3">
        <v>26</v>
      </c>
      <c r="D20" s="3">
        <f t="shared" si="0"/>
        <v>1.7566000000000002</v>
      </c>
      <c r="E20" s="3">
        <f t="shared" si="1"/>
        <v>6.4408666666666665</v>
      </c>
      <c r="F20" s="2">
        <f>(0.334*0.5^((C20+5)/6.31))*'EF Adjustment Table'!I$17</f>
        <v>1.7362818630536479E-2</v>
      </c>
      <c r="G20" s="8">
        <f t="shared" si="2"/>
        <v>23.150424840715306</v>
      </c>
      <c r="H20" s="2">
        <f>IF(Calculator!$E$11='GWP reference values'!$C$6,G20*'GWP reference values'!$D$6/1000,IF(Calculator!$E$11='GWP reference values'!$C$7,G20*'GWP reference values'!$D$7/1000,IF(Calculator!$E$11='GWP reference values'!$C$8,G20*'GWP reference values'!$D$8/1000,"Error")))</f>
        <v>0.64821189554002856</v>
      </c>
      <c r="I20" s="2">
        <f t="shared" si="11"/>
        <v>7.0890785622066952</v>
      </c>
      <c r="J20" s="3">
        <f t="shared" si="12"/>
        <v>26</v>
      </c>
    </row>
    <row r="21" spans="3:10" x14ac:dyDescent="0.25">
      <c r="C21" s="3">
        <v>27</v>
      </c>
      <c r="D21" s="3">
        <f t="shared" si="0"/>
        <v>1.8906999999999998</v>
      </c>
      <c r="E21" s="3">
        <f t="shared" si="1"/>
        <v>6.9325666666666663</v>
      </c>
      <c r="F21" s="2">
        <f>(0.334*0.5^((C21+5)/6.31))*'EF Adjustment Table'!I$17</f>
        <v>1.5556554499852821E-2</v>
      </c>
      <c r="G21" s="8">
        <f t="shared" si="2"/>
        <v>20.742072666470428</v>
      </c>
      <c r="H21" s="2">
        <f>IF(Calculator!$E$11='GWP reference values'!$C$6,G21*'GWP reference values'!$D$6/1000,IF(Calculator!$E$11='GWP reference values'!$C$7,G21*'GWP reference values'!$D$7/1000,IF(Calculator!$E$11='GWP reference values'!$C$8,G21*'GWP reference values'!$D$8/1000,"Error")))</f>
        <v>0.58077803466117195</v>
      </c>
      <c r="I21" s="2">
        <f t="shared" si="11"/>
        <v>7.5133447013278385</v>
      </c>
      <c r="J21" s="3">
        <f t="shared" si="12"/>
        <v>27</v>
      </c>
    </row>
    <row r="22" spans="3:10" x14ac:dyDescent="0.25">
      <c r="C22" s="3">
        <v>28</v>
      </c>
      <c r="D22" s="3">
        <f t="shared" si="0"/>
        <v>2.0247999999999999</v>
      </c>
      <c r="E22" s="3">
        <f t="shared" si="1"/>
        <v>7.4242666666666661</v>
      </c>
      <c r="F22" s="2">
        <f>(0.334*0.5^((C22+5)/6.31))*'EF Adjustment Table'!I$17</f>
        <v>1.3938197078282418E-2</v>
      </c>
      <c r="G22" s="8">
        <f t="shared" si="2"/>
        <v>18.584262771043225</v>
      </c>
      <c r="H22" s="2">
        <f>IF(Calculator!$E$11='GWP reference values'!$C$6,G22*'GWP reference values'!$D$6/1000,IF(Calculator!$E$11='GWP reference values'!$C$7,G22*'GWP reference values'!$D$7/1000,IF(Calculator!$E$11='GWP reference values'!$C$8,G22*'GWP reference values'!$D$8/1000,"Error")))</f>
        <v>0.52035935758921026</v>
      </c>
      <c r="I22" s="2">
        <f t="shared" si="11"/>
        <v>7.9446260242558768</v>
      </c>
      <c r="J22" s="3">
        <f t="shared" si="12"/>
        <v>28</v>
      </c>
    </row>
    <row r="23" spans="3:10" x14ac:dyDescent="0.25">
      <c r="C23" s="3">
        <v>29</v>
      </c>
      <c r="D23" s="3">
        <f t="shared" si="0"/>
        <v>2.1589</v>
      </c>
      <c r="E23" s="3">
        <f t="shared" si="1"/>
        <v>7.9159666666666668</v>
      </c>
      <c r="F23" s="2">
        <f>(0.334*0.5^((C23+5)/6.31))*'EF Adjustment Table'!I$17</f>
        <v>1.2488198321477838E-2</v>
      </c>
      <c r="G23" s="8">
        <f t="shared" si="2"/>
        <v>16.650931095303786</v>
      </c>
      <c r="H23" s="2">
        <f>IF(Calculator!$E$11='GWP reference values'!$C$6,G23*'GWP reference values'!$D$6/1000,IF(Calculator!$E$11='GWP reference values'!$C$7,G23*'GWP reference values'!$D$7/1000,IF(Calculator!$E$11='GWP reference values'!$C$8,G23*'GWP reference values'!$D$8/1000,"Error")))</f>
        <v>0.46622607066850602</v>
      </c>
      <c r="I23" s="2">
        <f t="shared" si="11"/>
        <v>8.3821927373351723</v>
      </c>
      <c r="J23" s="3">
        <f t="shared" si="12"/>
        <v>29</v>
      </c>
    </row>
    <row r="24" spans="3:10" x14ac:dyDescent="0.25">
      <c r="C24" s="3">
        <v>30</v>
      </c>
      <c r="D24" s="3">
        <f t="shared" ref="D24:D87" si="16">0.1341*C24-1.73</f>
        <v>2.2929999999999997</v>
      </c>
      <c r="E24" s="3">
        <f t="shared" ref="E24:E87" si="17">D24/12*44</f>
        <v>8.4076666666666657</v>
      </c>
      <c r="F24" s="2">
        <f>(0.334*0.5^((C24+5)/6.31))*'EF Adjustment Table'!I$17</f>
        <v>1.1189043779525893E-2</v>
      </c>
      <c r="G24" s="8">
        <f t="shared" ref="G24:G87" si="18">F24*1000*16/12</f>
        <v>14.918725039367857</v>
      </c>
      <c r="H24" s="2">
        <f>IF(Calculator!$E$11='GWP reference values'!$C$6,G24*'GWP reference values'!$D$6/1000,IF(Calculator!$E$11='GWP reference values'!$C$7,G24*'GWP reference values'!$D$7/1000,IF(Calculator!$E$11='GWP reference values'!$C$8,G24*'GWP reference values'!$D$8/1000,"Error")))</f>
        <v>0.41772430110229997</v>
      </c>
      <c r="I24" s="2">
        <f t="shared" si="11"/>
        <v>8.8253909677689659</v>
      </c>
      <c r="J24" s="3">
        <f t="shared" si="12"/>
        <v>30</v>
      </c>
    </row>
    <row r="25" spans="3:10" x14ac:dyDescent="0.25">
      <c r="C25" s="3">
        <v>31</v>
      </c>
      <c r="D25" s="3">
        <f t="shared" si="16"/>
        <v>2.4270999999999998</v>
      </c>
      <c r="E25" s="3">
        <f t="shared" si="17"/>
        <v>8.8993666666666655</v>
      </c>
      <c r="F25" s="2">
        <f>(0.334*0.5^((C25+5)/6.31))*'EF Adjustment Table'!I$17</f>
        <v>1.0025041040934695E-2</v>
      </c>
      <c r="G25" s="8">
        <f t="shared" si="18"/>
        <v>13.366721387912927</v>
      </c>
      <c r="H25" s="2">
        <f>IF(Calculator!$E$11='GWP reference values'!$C$6,G25*'GWP reference values'!$D$6/1000,IF(Calculator!$E$11='GWP reference values'!$C$7,G25*'GWP reference values'!$D$7/1000,IF(Calculator!$E$11='GWP reference values'!$C$8,G25*'GWP reference values'!$D$8/1000,"Error")))</f>
        <v>0.37426819886156193</v>
      </c>
      <c r="I25" s="2">
        <f t="shared" si="11"/>
        <v>9.2736348655282281</v>
      </c>
      <c r="J25" s="3">
        <f t="shared" si="12"/>
        <v>31</v>
      </c>
    </row>
    <row r="26" spans="3:10" x14ac:dyDescent="0.25">
      <c r="C26" s="3">
        <v>32</v>
      </c>
      <c r="D26" s="3">
        <f t="shared" si="16"/>
        <v>2.5611999999999999</v>
      </c>
      <c r="E26" s="3">
        <f t="shared" si="17"/>
        <v>9.3910666666666671</v>
      </c>
      <c r="F26" s="2">
        <f>(0.334*0.5^((C26+5)/6.31))*'EF Adjustment Table'!I$17</f>
        <v>8.9821301849158999E-3</v>
      </c>
      <c r="G26" s="8">
        <f t="shared" si="18"/>
        <v>11.976173579887865</v>
      </c>
      <c r="H26" s="2">
        <f>IF(Calculator!$E$11='GWP reference values'!$C$6,G26*'GWP reference values'!$D$6/1000,IF(Calculator!$E$11='GWP reference values'!$C$7,G26*'GWP reference values'!$D$7/1000,IF(Calculator!$E$11='GWP reference values'!$C$8,G26*'GWP reference values'!$D$8/1000,"Error")))</f>
        <v>0.33533286023686021</v>
      </c>
      <c r="I26" s="2">
        <f t="shared" si="11"/>
        <v>9.7263995269035277</v>
      </c>
      <c r="J26" s="3">
        <f t="shared" si="12"/>
        <v>32</v>
      </c>
    </row>
    <row r="27" spans="3:10" x14ac:dyDescent="0.25">
      <c r="C27" s="3">
        <v>33</v>
      </c>
      <c r="D27" s="3">
        <f t="shared" si="16"/>
        <v>2.6953</v>
      </c>
      <c r="E27" s="3">
        <f t="shared" si="17"/>
        <v>9.8827666666666669</v>
      </c>
      <c r="F27" s="2">
        <f>(0.334*0.5^((C27+5)/6.31))*'EF Adjustment Table'!I$17</f>
        <v>8.0477139524263927E-3</v>
      </c>
      <c r="G27" s="8">
        <f t="shared" si="18"/>
        <v>10.730285269901856</v>
      </c>
      <c r="H27" s="2">
        <f>IF(Calculator!$E$11='GWP reference values'!$C$6,G27*'GWP reference values'!$D$6/1000,IF(Calculator!$E$11='GWP reference values'!$C$7,G27*'GWP reference values'!$D$7/1000,IF(Calculator!$E$11='GWP reference values'!$C$8,G27*'GWP reference values'!$D$8/1000,"Error")))</f>
        <v>0.30044798755725194</v>
      </c>
      <c r="I27" s="2">
        <f t="shared" si="11"/>
        <v>10.183214654223919</v>
      </c>
      <c r="J27" s="3">
        <f t="shared" si="12"/>
        <v>33</v>
      </c>
    </row>
    <row r="28" spans="3:10" x14ac:dyDescent="0.25">
      <c r="C28" s="3">
        <v>34</v>
      </c>
      <c r="D28" s="3">
        <f t="shared" si="16"/>
        <v>2.8294000000000001</v>
      </c>
      <c r="E28" s="3">
        <f t="shared" si="17"/>
        <v>10.374466666666667</v>
      </c>
      <c r="F28" s="2">
        <f>(0.334*0.5^((C28+5)/6.31))*'EF Adjustment Table'!I$17</f>
        <v>7.2105055846153707E-3</v>
      </c>
      <c r="G28" s="8">
        <f t="shared" si="18"/>
        <v>9.6140074461538276</v>
      </c>
      <c r="H28" s="2">
        <f>IF(Calculator!$E$11='GWP reference values'!$C$6,G28*'GWP reference values'!$D$6/1000,IF(Calculator!$E$11='GWP reference values'!$C$7,G28*'GWP reference values'!$D$7/1000,IF(Calculator!$E$11='GWP reference values'!$C$8,G28*'GWP reference values'!$D$8/1000,"Error")))</f>
        <v>0.26919220849230713</v>
      </c>
      <c r="I28" s="2">
        <f t="shared" si="11"/>
        <v>10.643658875158973</v>
      </c>
      <c r="J28" s="3">
        <f t="shared" si="12"/>
        <v>34</v>
      </c>
    </row>
    <row r="29" spans="3:10" x14ac:dyDescent="0.25">
      <c r="C29" s="3">
        <v>35</v>
      </c>
      <c r="D29" s="3">
        <f t="shared" si="16"/>
        <v>2.9635000000000002</v>
      </c>
      <c r="E29" s="3">
        <f t="shared" si="17"/>
        <v>10.866166666666668</v>
      </c>
      <c r="F29" s="2">
        <f>(0.334*0.5^((C29+5)/6.31))*'EF Adjustment Table'!I$17</f>
        <v>6.4603924907263932E-3</v>
      </c>
      <c r="G29" s="8">
        <f t="shared" si="18"/>
        <v>8.6138566543018573</v>
      </c>
      <c r="H29" s="2">
        <f>IF(Calculator!$E$11='GWP reference values'!$C$6,G29*'GWP reference values'!$D$6/1000,IF(Calculator!$E$11='GWP reference values'!$C$7,G29*'GWP reference values'!$D$7/1000,IF(Calculator!$E$11='GWP reference values'!$C$8,G29*'GWP reference values'!$D$8/1000,"Error")))</f>
        <v>0.24118798632045202</v>
      </c>
      <c r="I29" s="2">
        <f t="shared" si="11"/>
        <v>11.107354652987119</v>
      </c>
      <c r="J29" s="3">
        <f t="shared" si="12"/>
        <v>35</v>
      </c>
    </row>
    <row r="30" spans="3:10" x14ac:dyDescent="0.25">
      <c r="C30" s="3">
        <v>36</v>
      </c>
      <c r="D30" s="3">
        <f t="shared" si="16"/>
        <v>3.0976000000000004</v>
      </c>
      <c r="E30" s="3">
        <f t="shared" si="17"/>
        <v>11.357866666666668</v>
      </c>
      <c r="F30" s="2">
        <f>(0.334*0.5^((C30+5)/6.31))*'EF Adjustment Table'!I$17</f>
        <v>5.7883140987068926E-3</v>
      </c>
      <c r="G30" s="8">
        <f t="shared" si="18"/>
        <v>7.717752131609191</v>
      </c>
      <c r="H30" s="2">
        <f>IF(Calculator!$E$11='GWP reference values'!$C$6,G30*'GWP reference values'!$D$6/1000,IF(Calculator!$E$11='GWP reference values'!$C$7,G30*'GWP reference values'!$D$7/1000,IF(Calculator!$E$11='GWP reference values'!$C$8,G30*'GWP reference values'!$D$8/1000,"Error")))</f>
        <v>0.21609705968505735</v>
      </c>
      <c r="I30" s="2">
        <f t="shared" si="11"/>
        <v>11.573963726351726</v>
      </c>
      <c r="J30" s="3">
        <f t="shared" si="12"/>
        <v>36</v>
      </c>
    </row>
    <row r="31" spans="3:10" x14ac:dyDescent="0.25">
      <c r="C31" s="3">
        <v>37</v>
      </c>
      <c r="D31" s="3">
        <f t="shared" si="16"/>
        <v>3.2316999999999996</v>
      </c>
      <c r="E31" s="3">
        <f t="shared" si="17"/>
        <v>11.849566666666666</v>
      </c>
      <c r="F31" s="2">
        <f>(0.334*0.5^((C31+5)/6.31))*'EF Adjustment Table'!I$17</f>
        <v>5.1861524130899714E-3</v>
      </c>
      <c r="G31" s="8">
        <f t="shared" si="18"/>
        <v>6.9148698841199616</v>
      </c>
      <c r="H31" s="2">
        <f>IF(Calculator!$E$11='GWP reference values'!$C$6,G31*'GWP reference values'!$D$6/1000,IF(Calculator!$E$11='GWP reference values'!$C$7,G31*'GWP reference values'!$D$7/1000,IF(Calculator!$E$11='GWP reference values'!$C$8,G31*'GWP reference values'!$D$8/1000,"Error")))</f>
        <v>0.19361635675535893</v>
      </c>
      <c r="I31" s="2">
        <f t="shared" si="11"/>
        <v>12.043183023422024</v>
      </c>
      <c r="J31" s="3">
        <f t="shared" si="12"/>
        <v>37</v>
      </c>
    </row>
    <row r="32" spans="3:10" x14ac:dyDescent="0.25">
      <c r="C32" s="3">
        <v>38</v>
      </c>
      <c r="D32" s="3">
        <f t="shared" si="16"/>
        <v>3.3657999999999997</v>
      </c>
      <c r="E32" s="3">
        <f t="shared" si="17"/>
        <v>12.341266666666666</v>
      </c>
      <c r="F32" s="2">
        <f>(0.334*0.5^((C32+5)/6.31))*'EF Adjustment Table'!I$17</f>
        <v>4.646633958203388E-3</v>
      </c>
      <c r="G32" s="8">
        <f t="shared" si="18"/>
        <v>6.1955119442711846</v>
      </c>
      <c r="H32" s="2">
        <f>IF(Calculator!$E$11='GWP reference values'!$C$6,G32*'GWP reference values'!$D$6/1000,IF(Calculator!$E$11='GWP reference values'!$C$7,G32*'GWP reference values'!$D$7/1000,IF(Calculator!$E$11='GWP reference values'!$C$8,G32*'GWP reference values'!$D$8/1000,"Error")))</f>
        <v>0.17347433443959318</v>
      </c>
      <c r="I32" s="2">
        <f t="shared" si="11"/>
        <v>12.514741001106259</v>
      </c>
      <c r="J32" s="3">
        <f t="shared" si="12"/>
        <v>38</v>
      </c>
    </row>
    <row r="33" spans="3:10" x14ac:dyDescent="0.25">
      <c r="C33" s="3">
        <v>39</v>
      </c>
      <c r="D33" s="3">
        <f t="shared" si="16"/>
        <v>3.4998999999999998</v>
      </c>
      <c r="E33" s="3">
        <f t="shared" si="17"/>
        <v>12.832966666666666</v>
      </c>
      <c r="F33" s="2">
        <f>(0.334*0.5^((C33+5)/6.31))*'EF Adjustment Table'!I$17</f>
        <v>4.1632419222836971E-3</v>
      </c>
      <c r="G33" s="8">
        <f t="shared" si="18"/>
        <v>5.5509892297115959</v>
      </c>
      <c r="H33" s="2">
        <f>IF(Calculator!$E$11='GWP reference values'!$C$6,G33*'GWP reference values'!$D$6/1000,IF(Calculator!$E$11='GWP reference values'!$C$7,G33*'GWP reference values'!$D$7/1000,IF(Calculator!$E$11='GWP reference values'!$C$8,G33*'GWP reference values'!$D$8/1000,"Error")))</f>
        <v>0.15542769843192469</v>
      </c>
      <c r="I33" s="2">
        <f t="shared" si="11"/>
        <v>12.988394365098591</v>
      </c>
      <c r="J33" s="3">
        <f t="shared" si="12"/>
        <v>39</v>
      </c>
    </row>
    <row r="34" spans="3:10" x14ac:dyDescent="0.25">
      <c r="C34" s="3">
        <v>40</v>
      </c>
      <c r="D34" s="3">
        <f t="shared" si="16"/>
        <v>3.6339999999999999</v>
      </c>
      <c r="E34" s="3">
        <f t="shared" si="17"/>
        <v>13.324666666666667</v>
      </c>
      <c r="F34" s="2">
        <f>(0.334*0.5^((C34+5)/6.31))*'EF Adjustment Table'!I$17</f>
        <v>3.730137441289231E-3</v>
      </c>
      <c r="G34" s="8">
        <f t="shared" si="18"/>
        <v>4.9735165883856416</v>
      </c>
      <c r="H34" s="2">
        <f>IF(Calculator!$E$11='GWP reference values'!$C$6,G34*'GWP reference values'!$D$6/1000,IF(Calculator!$E$11='GWP reference values'!$C$7,G34*'GWP reference values'!$D$7/1000,IF(Calculator!$E$11='GWP reference values'!$C$8,G34*'GWP reference values'!$D$8/1000,"Error")))</f>
        <v>0.13925846447479795</v>
      </c>
      <c r="I34" s="2">
        <f t="shared" si="11"/>
        <v>13.463925131141465</v>
      </c>
      <c r="J34" s="3">
        <f t="shared" si="12"/>
        <v>40</v>
      </c>
    </row>
    <row r="35" spans="3:10" x14ac:dyDescent="0.25">
      <c r="C35" s="3">
        <v>41</v>
      </c>
      <c r="D35" s="3">
        <f t="shared" si="16"/>
        <v>3.7681</v>
      </c>
      <c r="E35" s="3">
        <f t="shared" si="17"/>
        <v>13.816366666666667</v>
      </c>
      <c r="F35" s="2">
        <f>(0.334*0.5^((C35+5)/6.31))*'EF Adjustment Table'!I$17</f>
        <v>3.342089071603954E-3</v>
      </c>
      <c r="G35" s="8">
        <f t="shared" si="18"/>
        <v>4.4561187621386056</v>
      </c>
      <c r="H35" s="2">
        <f>IF(Calculator!$E$11='GWP reference values'!$C$6,G35*'GWP reference values'!$D$6/1000,IF(Calculator!$E$11='GWP reference values'!$C$7,G35*'GWP reference values'!$D$7/1000,IF(Calculator!$E$11='GWP reference values'!$C$8,G35*'GWP reference values'!$D$8/1000,"Error")))</f>
        <v>0.12477132533988096</v>
      </c>
      <c r="I35" s="2">
        <f t="shared" si="11"/>
        <v>13.941137992006547</v>
      </c>
      <c r="J35" s="3">
        <f t="shared" si="12"/>
        <v>41</v>
      </c>
    </row>
    <row r="36" spans="3:10" x14ac:dyDescent="0.25">
      <c r="C36" s="3">
        <v>42</v>
      </c>
      <c r="D36" s="3">
        <f t="shared" si="16"/>
        <v>3.9022000000000001</v>
      </c>
      <c r="E36" s="3">
        <f t="shared" si="17"/>
        <v>14.308066666666667</v>
      </c>
      <c r="F36" s="2">
        <f>(0.334*0.5^((C36+5)/6.31))*'EF Adjustment Table'!I$17</f>
        <v>2.9944095997369163E-3</v>
      </c>
      <c r="G36" s="8">
        <f t="shared" si="18"/>
        <v>3.9925461329825551</v>
      </c>
      <c r="H36" s="2">
        <f>IF(Calculator!$E$11='GWP reference values'!$C$6,G36*'GWP reference values'!$D$6/1000,IF(Calculator!$E$11='GWP reference values'!$C$7,G36*'GWP reference values'!$D$7/1000,IF(Calculator!$E$11='GWP reference values'!$C$8,G36*'GWP reference values'!$D$8/1000,"Error")))</f>
        <v>0.11179129172351154</v>
      </c>
      <c r="I36" s="2">
        <f t="shared" si="11"/>
        <v>14.419857958390178</v>
      </c>
      <c r="J36" s="3">
        <f t="shared" si="12"/>
        <v>42</v>
      </c>
    </row>
    <row r="37" spans="3:10" x14ac:dyDescent="0.25">
      <c r="C37" s="3">
        <v>43</v>
      </c>
      <c r="D37" s="3">
        <f t="shared" si="16"/>
        <v>4.0363000000000007</v>
      </c>
      <c r="E37" s="3">
        <f t="shared" si="17"/>
        <v>14.799766666666669</v>
      </c>
      <c r="F37" s="2">
        <f>(0.334*0.5^((C37+5)/6.31))*'EF Adjustment Table'!I$17</f>
        <v>2.6828994257455138E-3</v>
      </c>
      <c r="G37" s="8">
        <f t="shared" si="18"/>
        <v>3.577199234327352</v>
      </c>
      <c r="H37" s="2">
        <f>IF(Calculator!$E$11='GWP reference values'!$C$6,G37*'GWP reference values'!$D$6/1000,IF(Calculator!$E$11='GWP reference values'!$C$7,G37*'GWP reference values'!$D$7/1000,IF(Calculator!$E$11='GWP reference values'!$C$8,G37*'GWP reference values'!$D$8/1000,"Error")))</f>
        <v>0.10016157856116585</v>
      </c>
      <c r="I37" s="2">
        <f t="shared" si="11"/>
        <v>14.899928245227834</v>
      </c>
      <c r="J37" s="3">
        <f t="shared" si="12"/>
        <v>43</v>
      </c>
    </row>
    <row r="38" spans="3:10" x14ac:dyDescent="0.25">
      <c r="C38" s="3">
        <v>44</v>
      </c>
      <c r="D38" s="3">
        <f t="shared" si="16"/>
        <v>4.170399999999999</v>
      </c>
      <c r="E38" s="3">
        <f t="shared" si="17"/>
        <v>15.291466666666663</v>
      </c>
      <c r="F38" s="2">
        <f>(0.334*0.5^((C38+5)/6.31))*'EF Adjustment Table'!I$17</f>
        <v>2.4037958365141503E-3</v>
      </c>
      <c r="G38" s="8">
        <f t="shared" si="18"/>
        <v>3.2050611153522</v>
      </c>
      <c r="H38" s="2">
        <f>IF(Calculator!$E$11='GWP reference values'!$C$6,G38*'GWP reference values'!$D$6/1000,IF(Calculator!$E$11='GWP reference values'!$C$7,G38*'GWP reference values'!$D$7/1000,IF(Calculator!$E$11='GWP reference values'!$C$8,G38*'GWP reference values'!$D$8/1000,"Error")))</f>
        <v>8.974171122986159E-2</v>
      </c>
      <c r="I38" s="2">
        <f t="shared" si="11"/>
        <v>15.381208377896524</v>
      </c>
      <c r="J38" s="3">
        <f t="shared" si="12"/>
        <v>44</v>
      </c>
    </row>
    <row r="39" spans="3:10" x14ac:dyDescent="0.25">
      <c r="C39" s="3">
        <v>45</v>
      </c>
      <c r="D39" s="3">
        <f t="shared" si="16"/>
        <v>4.3044999999999991</v>
      </c>
      <c r="E39" s="3">
        <f t="shared" si="17"/>
        <v>15.783166666666663</v>
      </c>
      <c r="F39" s="2">
        <f>(0.334*0.5^((C39+5)/6.31))*'EF Adjustment Table'!I$17</f>
        <v>2.1537275561632854E-3</v>
      </c>
      <c r="G39" s="8">
        <f t="shared" si="18"/>
        <v>2.8716367415510473</v>
      </c>
      <c r="H39" s="2">
        <f>IF(Calculator!$E$11='GWP reference values'!$C$6,G39*'GWP reference values'!$D$6/1000,IF(Calculator!$E$11='GWP reference values'!$C$7,G39*'GWP reference values'!$D$7/1000,IF(Calculator!$E$11='GWP reference values'!$C$8,G39*'GWP reference values'!$D$8/1000,"Error")))</f>
        <v>8.0405828763429332E-2</v>
      </c>
      <c r="I39" s="2">
        <f t="shared" si="11"/>
        <v>15.863572495430093</v>
      </c>
      <c r="J39" s="3">
        <f t="shared" si="12"/>
        <v>45</v>
      </c>
    </row>
    <row r="40" spans="3:10" x14ac:dyDescent="0.25">
      <c r="C40" s="3">
        <v>46</v>
      </c>
      <c r="D40" s="3">
        <f t="shared" si="16"/>
        <v>4.4385999999999992</v>
      </c>
      <c r="E40" s="3">
        <f t="shared" si="17"/>
        <v>16.274866666666664</v>
      </c>
      <c r="F40" s="2">
        <f>(0.334*0.5^((C40+5)/6.31))*'EF Adjustment Table'!I$17</f>
        <v>1.9296740246058618E-3</v>
      </c>
      <c r="G40" s="8">
        <f t="shared" si="18"/>
        <v>2.5728986994744822</v>
      </c>
      <c r="H40" s="2">
        <f>IF(Calculator!$E$11='GWP reference values'!$C$6,G40*'GWP reference values'!$D$6/1000,IF(Calculator!$E$11='GWP reference values'!$C$7,G40*'GWP reference values'!$D$7/1000,IF(Calculator!$E$11='GWP reference values'!$C$8,G40*'GWP reference values'!$D$8/1000,"Error")))</f>
        <v>7.2041163585285506E-2</v>
      </c>
      <c r="I40" s="2">
        <f t="shared" si="11"/>
        <v>16.346907830251951</v>
      </c>
      <c r="J40" s="3">
        <f t="shared" si="12"/>
        <v>46</v>
      </c>
    </row>
    <row r="41" spans="3:10" x14ac:dyDescent="0.25">
      <c r="C41" s="3">
        <v>47</v>
      </c>
      <c r="D41" s="3">
        <f t="shared" si="16"/>
        <v>4.5726999999999993</v>
      </c>
      <c r="E41" s="3">
        <f t="shared" si="17"/>
        <v>16.766566666666662</v>
      </c>
      <c r="F41" s="2">
        <f>(0.334*0.5^((C41+5)/6.31))*'EF Adjustment Table'!I$17</f>
        <v>1.7289289123792395E-3</v>
      </c>
      <c r="G41" s="8">
        <f t="shared" si="18"/>
        <v>2.305238549838986</v>
      </c>
      <c r="H41" s="2">
        <f>IF(Calculator!$E$11='GWP reference values'!$C$6,G41*'GWP reference values'!$D$6/1000,IF(Calculator!$E$11='GWP reference values'!$C$7,G41*'GWP reference values'!$D$7/1000,IF(Calculator!$E$11='GWP reference values'!$C$8,G41*'GWP reference values'!$D$8/1000,"Error")))</f>
        <v>6.4546679395491607E-2</v>
      </c>
      <c r="I41" s="2">
        <f t="shared" si="11"/>
        <v>16.831113346062153</v>
      </c>
      <c r="J41" s="3">
        <f t="shared" si="12"/>
        <v>47</v>
      </c>
    </row>
    <row r="42" spans="3:10" x14ac:dyDescent="0.25">
      <c r="C42" s="3">
        <v>48</v>
      </c>
      <c r="D42" s="3">
        <f t="shared" si="16"/>
        <v>4.7067999999999994</v>
      </c>
      <c r="E42" s="3">
        <f t="shared" si="17"/>
        <v>17.258266666666664</v>
      </c>
      <c r="F42" s="2">
        <f>(0.334*0.5^((C42+5)/6.31))*'EF Adjustment Table'!I$17</f>
        <v>1.5490674310503841E-3</v>
      </c>
      <c r="G42" s="8">
        <f t="shared" si="18"/>
        <v>2.065423241400512</v>
      </c>
      <c r="H42" s="2">
        <f>IF(Calculator!$E$11='GWP reference values'!$C$6,G42*'GWP reference values'!$D$6/1000,IF(Calculator!$E$11='GWP reference values'!$C$7,G42*'GWP reference values'!$D$7/1000,IF(Calculator!$E$11='GWP reference values'!$C$8,G42*'GWP reference values'!$D$8/1000,"Error")))</f>
        <v>5.7831850759214334E-2</v>
      </c>
      <c r="I42" s="2">
        <f t="shared" si="11"/>
        <v>17.316098517425878</v>
      </c>
      <c r="J42" s="3">
        <f t="shared" si="12"/>
        <v>48</v>
      </c>
    </row>
    <row r="43" spans="3:10" x14ac:dyDescent="0.25">
      <c r="C43" s="3">
        <v>49</v>
      </c>
      <c r="D43" s="3">
        <f t="shared" si="16"/>
        <v>4.8408999999999995</v>
      </c>
      <c r="E43" s="3">
        <f t="shared" si="17"/>
        <v>17.749966666666666</v>
      </c>
      <c r="F43" s="2">
        <f>(0.334*0.5^((C43+5)/6.31))*'EF Adjustment Table'!I$17</f>
        <v>1.3879170443386543E-3</v>
      </c>
      <c r="G43" s="8">
        <f t="shared" si="18"/>
        <v>1.8505560591182058</v>
      </c>
      <c r="H43" s="2">
        <f>IF(Calculator!$E$11='GWP reference values'!$C$6,G43*'GWP reference values'!$D$6/1000,IF(Calculator!$E$11='GWP reference values'!$C$7,G43*'GWP reference values'!$D$7/1000,IF(Calculator!$E$11='GWP reference values'!$C$8,G43*'GWP reference values'!$D$8/1000,"Error")))</f>
        <v>5.1815569655309757E-2</v>
      </c>
      <c r="I43" s="2">
        <f t="shared" si="11"/>
        <v>17.801782236321976</v>
      </c>
      <c r="J43" s="3">
        <f t="shared" si="12"/>
        <v>49</v>
      </c>
    </row>
    <row r="44" spans="3:10" x14ac:dyDescent="0.25">
      <c r="C44" s="3">
        <v>50</v>
      </c>
      <c r="D44" s="3">
        <f t="shared" si="16"/>
        <v>4.9749999999999996</v>
      </c>
      <c r="E44" s="3">
        <f t="shared" si="17"/>
        <v>18.241666666666667</v>
      </c>
      <c r="F44" s="2">
        <f>(0.334*0.5^((C44+5)/6.31))*'EF Adjustment Table'!I$17</f>
        <v>1.2435312261775196E-3</v>
      </c>
      <c r="G44" s="8">
        <f t="shared" si="18"/>
        <v>1.6580416349033593</v>
      </c>
      <c r="H44" s="2">
        <f>IF(Calculator!$E$11='GWP reference values'!$C$6,G44*'GWP reference values'!$D$6/1000,IF(Calculator!$E$11='GWP reference values'!$C$7,G44*'GWP reference values'!$D$7/1000,IF(Calculator!$E$11='GWP reference values'!$C$8,G44*'GWP reference values'!$D$8/1000,"Error")))</f>
        <v>4.642516577729406E-2</v>
      </c>
      <c r="I44" s="2">
        <f t="shared" si="11"/>
        <v>18.288091832443961</v>
      </c>
      <c r="J44" s="3">
        <f t="shared" si="12"/>
        <v>50</v>
      </c>
    </row>
    <row r="45" spans="3:10" x14ac:dyDescent="0.25">
      <c r="C45" s="3">
        <v>51</v>
      </c>
      <c r="D45" s="3">
        <f t="shared" si="16"/>
        <v>5.1090999999999998</v>
      </c>
      <c r="E45" s="3">
        <f t="shared" si="17"/>
        <v>18.733366666666665</v>
      </c>
      <c r="F45" s="2">
        <f>(0.334*0.5^((C45+5)/6.31))*'EF Adjustment Table'!I$17</f>
        <v>1.1141659487404131E-3</v>
      </c>
      <c r="G45" s="8">
        <f t="shared" si="18"/>
        <v>1.4855545983205509</v>
      </c>
      <c r="H45" s="2">
        <f>IF(Calculator!$E$11='GWP reference values'!$C$6,G45*'GWP reference values'!$D$6/1000,IF(Calculator!$E$11='GWP reference values'!$C$7,G45*'GWP reference values'!$D$7/1000,IF(Calculator!$E$11='GWP reference values'!$C$8,G45*'GWP reference values'!$D$8/1000,"Error")))</f>
        <v>4.1595528752975425E-2</v>
      </c>
      <c r="I45" s="2">
        <f t="shared" si="11"/>
        <v>18.77496219541964</v>
      </c>
      <c r="J45" s="3">
        <f t="shared" si="12"/>
        <v>51</v>
      </c>
    </row>
    <row r="46" spans="3:10" x14ac:dyDescent="0.25">
      <c r="C46" s="3">
        <v>52</v>
      </c>
      <c r="D46" s="3">
        <f t="shared" si="16"/>
        <v>5.2431999999999999</v>
      </c>
      <c r="E46" s="3">
        <f t="shared" si="17"/>
        <v>19.225066666666667</v>
      </c>
      <c r="F46" s="2">
        <f>(0.334*0.5^((C46+5)/6.31))*'EF Adjustment Table'!I$17</f>
        <v>9.9825861643092618E-4</v>
      </c>
      <c r="G46" s="8">
        <f t="shared" si="18"/>
        <v>1.3310114885745683</v>
      </c>
      <c r="H46" s="2">
        <f>IF(Calculator!$E$11='GWP reference values'!$C$6,G46*'GWP reference values'!$D$6/1000,IF(Calculator!$E$11='GWP reference values'!$C$7,G46*'GWP reference values'!$D$7/1000,IF(Calculator!$E$11='GWP reference values'!$C$8,G46*'GWP reference values'!$D$8/1000,"Error")))</f>
        <v>3.7268321680087917E-2</v>
      </c>
      <c r="I46" s="2">
        <f t="shared" si="11"/>
        <v>19.262334988346755</v>
      </c>
      <c r="J46" s="3">
        <f t="shared" si="12"/>
        <v>52</v>
      </c>
    </row>
    <row r="47" spans="3:10" x14ac:dyDescent="0.25">
      <c r="C47" s="3">
        <v>53</v>
      </c>
      <c r="D47" s="3">
        <f t="shared" si="16"/>
        <v>5.3773</v>
      </c>
      <c r="E47" s="3">
        <f t="shared" si="17"/>
        <v>19.716766666666665</v>
      </c>
      <c r="F47" s="2">
        <f>(0.334*0.5^((C47+5)/6.31))*'EF Adjustment Table'!I$17</f>
        <v>8.944091913822837E-4</v>
      </c>
      <c r="G47" s="8">
        <f t="shared" si="18"/>
        <v>1.1925455885097116</v>
      </c>
      <c r="H47" s="2">
        <f>IF(Calculator!$E$11='GWP reference values'!$C$6,G47*'GWP reference values'!$D$6/1000,IF(Calculator!$E$11='GWP reference values'!$C$7,G47*'GWP reference values'!$D$7/1000,IF(Calculator!$E$11='GWP reference values'!$C$8,G47*'GWP reference values'!$D$8/1000,"Error")))</f>
        <v>3.3391276478271927E-2</v>
      </c>
      <c r="I47" s="2">
        <f t="shared" si="11"/>
        <v>19.750157943144938</v>
      </c>
      <c r="J47" s="3">
        <f t="shared" si="12"/>
        <v>53</v>
      </c>
    </row>
    <row r="48" spans="3:10" x14ac:dyDescent="0.25">
      <c r="C48" s="3">
        <v>54</v>
      </c>
      <c r="D48" s="3">
        <f t="shared" si="16"/>
        <v>5.5114000000000001</v>
      </c>
      <c r="E48" s="3">
        <f t="shared" si="17"/>
        <v>20.208466666666666</v>
      </c>
      <c r="F48" s="2">
        <f>(0.334*0.5^((C48+5)/6.31))*'EF Adjustment Table'!I$17</f>
        <v>8.0136328248208333E-4</v>
      </c>
      <c r="G48" s="8">
        <f t="shared" si="18"/>
        <v>1.0684843766427778</v>
      </c>
      <c r="H48" s="2">
        <f>IF(Calculator!$E$11='GWP reference values'!$C$6,G48*'GWP reference values'!$D$6/1000,IF(Calculator!$E$11='GWP reference values'!$C$7,G48*'GWP reference values'!$D$7/1000,IF(Calculator!$E$11='GWP reference values'!$C$8,G48*'GWP reference values'!$D$8/1000,"Error")))</f>
        <v>2.991756254599778E-2</v>
      </c>
      <c r="I48" s="2">
        <f t="shared" si="11"/>
        <v>20.238384229212663</v>
      </c>
      <c r="J48" s="3">
        <f t="shared" si="12"/>
        <v>54</v>
      </c>
    </row>
    <row r="49" spans="3:10" x14ac:dyDescent="0.25">
      <c r="C49" s="3">
        <v>55</v>
      </c>
      <c r="D49" s="3">
        <f t="shared" si="16"/>
        <v>5.6455000000000002</v>
      </c>
      <c r="E49" s="3">
        <f t="shared" si="17"/>
        <v>20.700166666666668</v>
      </c>
      <c r="F49" s="2">
        <f>(0.334*0.5^((C49+5)/6.31))*'EF Adjustment Table'!I$17</f>
        <v>7.1799699365564902E-4</v>
      </c>
      <c r="G49" s="8">
        <f t="shared" si="18"/>
        <v>0.95732932487419875</v>
      </c>
      <c r="H49" s="2">
        <f>IF(Calculator!$E$11='GWP reference values'!$C$6,G49*'GWP reference values'!$D$6/1000,IF(Calculator!$E$11='GWP reference values'!$C$7,G49*'GWP reference values'!$D$7/1000,IF(Calculator!$E$11='GWP reference values'!$C$8,G49*'GWP reference values'!$D$8/1000,"Error")))</f>
        <v>2.6805221096477566E-2</v>
      </c>
      <c r="I49" s="2">
        <f t="shared" si="11"/>
        <v>20.726971887763145</v>
      </c>
      <c r="J49" s="3">
        <f t="shared" si="12"/>
        <v>55</v>
      </c>
    </row>
    <row r="50" spans="3:10" x14ac:dyDescent="0.25">
      <c r="C50" s="3">
        <v>56</v>
      </c>
      <c r="D50" s="3">
        <f t="shared" si="16"/>
        <v>5.7796000000000003</v>
      </c>
      <c r="E50" s="3">
        <f t="shared" si="17"/>
        <v>21.19186666666667</v>
      </c>
      <c r="F50" s="2">
        <f>(0.334*0.5^((C50+5)/6.31))*'EF Adjustment Table'!I$17</f>
        <v>6.4330334839127787E-4</v>
      </c>
      <c r="G50" s="8">
        <f t="shared" si="18"/>
        <v>0.85773779785503723</v>
      </c>
      <c r="H50" s="2">
        <f>IF(Calculator!$E$11='GWP reference values'!$C$6,G50*'GWP reference values'!$D$6/1000,IF(Calculator!$E$11='GWP reference values'!$C$7,G50*'GWP reference values'!$D$7/1000,IF(Calculator!$E$11='GWP reference values'!$C$8,G50*'GWP reference values'!$D$8/1000,"Error")))</f>
        <v>2.401665833994104E-2</v>
      </c>
      <c r="I50" s="2">
        <f t="shared" si="11"/>
        <v>21.215883325006612</v>
      </c>
      <c r="J50" s="3">
        <f t="shared" si="12"/>
        <v>56</v>
      </c>
    </row>
    <row r="51" spans="3:10" x14ac:dyDescent="0.25">
      <c r="C51" s="3">
        <v>57</v>
      </c>
      <c r="D51" s="3">
        <f t="shared" si="16"/>
        <v>5.9137000000000004</v>
      </c>
      <c r="E51" s="3">
        <f t="shared" si="17"/>
        <v>21.683566666666668</v>
      </c>
      <c r="F51" s="2">
        <f>(0.334*0.5^((C51+5)/6.31))*'EF Adjustment Table'!I$17</f>
        <v>5.7638012653003757E-4</v>
      </c>
      <c r="G51" s="8">
        <f t="shared" si="18"/>
        <v>0.76850683537338338</v>
      </c>
      <c r="H51" s="2">
        <f>IF(Calculator!$E$11='GWP reference values'!$C$6,G51*'GWP reference values'!$D$6/1000,IF(Calculator!$E$11='GWP reference values'!$C$7,G51*'GWP reference values'!$D$7/1000,IF(Calculator!$E$11='GWP reference values'!$C$8,G51*'GWP reference values'!$D$8/1000,"Error")))</f>
        <v>2.1518191390454734E-2</v>
      </c>
      <c r="I51" s="2">
        <f t="shared" si="11"/>
        <v>21.705084858057123</v>
      </c>
      <c r="J51" s="3">
        <f t="shared" si="12"/>
        <v>57</v>
      </c>
    </row>
    <row r="52" spans="3:10" x14ac:dyDescent="0.25">
      <c r="C52" s="3">
        <v>58</v>
      </c>
      <c r="D52" s="3">
        <f t="shared" si="16"/>
        <v>6.0478000000000005</v>
      </c>
      <c r="E52" s="3">
        <f t="shared" si="17"/>
        <v>22.175266666666666</v>
      </c>
      <c r="F52" s="2">
        <f>(0.334*0.5^((C52+5)/6.31))*'EF Adjustment Table'!I$17</f>
        <v>5.1641896640139927E-4</v>
      </c>
      <c r="G52" s="8">
        <f t="shared" si="18"/>
        <v>0.68855862186853234</v>
      </c>
      <c r="H52" s="2">
        <f>IF(Calculator!$E$11='GWP reference values'!$C$6,G52*'GWP reference values'!$D$6/1000,IF(Calculator!$E$11='GWP reference values'!$C$7,G52*'GWP reference values'!$D$7/1000,IF(Calculator!$E$11='GWP reference values'!$C$8,G52*'GWP reference values'!$D$8/1000,"Error")))</f>
        <v>1.9279641412318905E-2</v>
      </c>
      <c r="I52" s="2">
        <f t="shared" si="11"/>
        <v>22.194546308078984</v>
      </c>
      <c r="J52" s="3">
        <f t="shared" si="12"/>
        <v>58</v>
      </c>
    </row>
    <row r="53" spans="3:10" x14ac:dyDescent="0.25">
      <c r="C53" s="3">
        <v>59</v>
      </c>
      <c r="D53" s="3">
        <f t="shared" si="16"/>
        <v>6.1819000000000006</v>
      </c>
      <c r="E53" s="3">
        <f t="shared" si="17"/>
        <v>22.666966666666667</v>
      </c>
      <c r="F53" s="2">
        <f>(0.334*0.5^((C53+5)/6.31))*'EF Adjustment Table'!I$17</f>
        <v>4.6269560067003894E-4</v>
      </c>
      <c r="G53" s="8">
        <f t="shared" si="18"/>
        <v>0.6169274675600519</v>
      </c>
      <c r="H53" s="2">
        <f>IF(Calculator!$E$11='GWP reference values'!$C$6,G53*'GWP reference values'!$D$6/1000,IF(Calculator!$E$11='GWP reference values'!$C$7,G53*'GWP reference values'!$D$7/1000,IF(Calculator!$E$11='GWP reference values'!$C$8,G53*'GWP reference values'!$D$8/1000,"Error")))</f>
        <v>1.7273969091681454E-2</v>
      </c>
      <c r="I53" s="2">
        <f t="shared" si="11"/>
        <v>22.68424063575835</v>
      </c>
      <c r="J53" s="3">
        <f t="shared" si="12"/>
        <v>59</v>
      </c>
    </row>
    <row r="54" spans="3:10" x14ac:dyDescent="0.25">
      <c r="C54" s="3">
        <v>60</v>
      </c>
      <c r="D54" s="3">
        <f t="shared" si="16"/>
        <v>6.3159999999999989</v>
      </c>
      <c r="E54" s="3">
        <f t="shared" si="17"/>
        <v>23.158666666666662</v>
      </c>
      <c r="F54" s="2">
        <f>(0.334*0.5^((C54+5)/6.31))*'EF Adjustment Table'!I$17</f>
        <v>4.1456110795319671E-4</v>
      </c>
      <c r="G54" s="8">
        <f t="shared" si="18"/>
        <v>0.55274814393759564</v>
      </c>
      <c r="H54" s="2">
        <f>IF(Calculator!$E$11='GWP reference values'!$C$6,G54*'GWP reference values'!$D$6/1000,IF(Calculator!$E$11='GWP reference values'!$C$7,G54*'GWP reference values'!$D$7/1000,IF(Calculator!$E$11='GWP reference values'!$C$8,G54*'GWP reference values'!$D$8/1000,"Error")))</f>
        <v>1.5476948030252678E-2</v>
      </c>
      <c r="I54" s="2">
        <f t="shared" si="11"/>
        <v>23.174143614696913</v>
      </c>
      <c r="J54" s="3">
        <f t="shared" si="12"/>
        <v>60</v>
      </c>
    </row>
    <row r="55" spans="3:10" x14ac:dyDescent="0.25">
      <c r="C55" s="3">
        <v>61</v>
      </c>
      <c r="D55" s="3">
        <f t="shared" si="16"/>
        <v>6.4500999999999991</v>
      </c>
      <c r="E55" s="3">
        <f t="shared" si="17"/>
        <v>23.650366666666663</v>
      </c>
      <c r="F55" s="2">
        <f>(0.334*0.5^((C55+5)/6.31))*'EF Adjustment Table'!I$17</f>
        <v>3.714340745373551E-4</v>
      </c>
      <c r="G55" s="8">
        <f t="shared" si="18"/>
        <v>0.49524543271647348</v>
      </c>
      <c r="H55" s="2">
        <f>IF(Calculator!$E$11='GWP reference values'!$C$6,G55*'GWP reference values'!$D$6/1000,IF(Calculator!$E$11='GWP reference values'!$C$7,G55*'GWP reference values'!$D$7/1000,IF(Calculator!$E$11='GWP reference values'!$C$8,G55*'GWP reference values'!$D$8/1000,"Error")))</f>
        <v>1.3866872116061257E-2</v>
      </c>
      <c r="I55" s="2">
        <f t="shared" si="11"/>
        <v>23.664233538782725</v>
      </c>
      <c r="J55" s="3">
        <f t="shared" si="12"/>
        <v>61</v>
      </c>
    </row>
    <row r="56" spans="3:10" x14ac:dyDescent="0.25">
      <c r="C56" s="3">
        <v>62</v>
      </c>
      <c r="D56" s="3">
        <f t="shared" si="16"/>
        <v>6.5841999999999992</v>
      </c>
      <c r="E56" s="3">
        <f t="shared" si="17"/>
        <v>24.142066666666665</v>
      </c>
      <c r="F56" s="2">
        <f>(0.334*0.5^((C56+5)/6.31))*'EF Adjustment Table'!I$17</f>
        <v>3.3279357151611445E-4</v>
      </c>
      <c r="G56" s="8">
        <f t="shared" si="18"/>
        <v>0.44372476202148592</v>
      </c>
      <c r="H56" s="2">
        <f>IF(Calculator!$E$11='GWP reference values'!$C$6,G56*'GWP reference values'!$D$6/1000,IF(Calculator!$E$11='GWP reference values'!$C$7,G56*'GWP reference values'!$D$7/1000,IF(Calculator!$E$11='GWP reference values'!$C$8,G56*'GWP reference values'!$D$8/1000,"Error")))</f>
        <v>1.2424293336601605E-2</v>
      </c>
      <c r="I56" s="2">
        <f t="shared" si="11"/>
        <v>24.154490960003265</v>
      </c>
      <c r="J56" s="3">
        <f t="shared" si="12"/>
        <v>62</v>
      </c>
    </row>
    <row r="57" spans="3:10" x14ac:dyDescent="0.25">
      <c r="C57" s="3">
        <v>63</v>
      </c>
      <c r="D57" s="3">
        <f t="shared" si="16"/>
        <v>6.7182999999999993</v>
      </c>
      <c r="E57" s="3">
        <f t="shared" si="17"/>
        <v>24.633766666666663</v>
      </c>
      <c r="F57" s="2">
        <f>(0.334*0.5^((C57+5)/6.31))*'EF Adjustment Table'!I$17</f>
        <v>2.9817286252048654E-4</v>
      </c>
      <c r="G57" s="8">
        <f t="shared" si="18"/>
        <v>0.39756381669398205</v>
      </c>
      <c r="H57" s="2">
        <f>IF(Calculator!$E$11='GWP reference values'!$C$6,G57*'GWP reference values'!$D$6/1000,IF(Calculator!$E$11='GWP reference values'!$C$7,G57*'GWP reference values'!$D$7/1000,IF(Calculator!$E$11='GWP reference values'!$C$8,G57*'GWP reference values'!$D$8/1000,"Error")))</f>
        <v>1.1131786867431498E-2</v>
      </c>
      <c r="I57" s="2">
        <f t="shared" si="11"/>
        <v>24.644898453534093</v>
      </c>
      <c r="J57" s="3">
        <f t="shared" si="12"/>
        <v>63</v>
      </c>
    </row>
    <row r="58" spans="3:10" x14ac:dyDescent="0.25">
      <c r="C58" s="3">
        <v>64</v>
      </c>
      <c r="D58" s="3">
        <f t="shared" si="16"/>
        <v>6.8523999999999994</v>
      </c>
      <c r="E58" s="3">
        <f t="shared" si="17"/>
        <v>25.125466666666664</v>
      </c>
      <c r="F58" s="2">
        <f>(0.334*0.5^((C58+5)/6.31))*'EF Adjustment Table'!I$17</f>
        <v>2.6715376603768365E-4</v>
      </c>
      <c r="G58" s="8">
        <f t="shared" si="18"/>
        <v>0.35620502138357818</v>
      </c>
      <c r="H58" s="2">
        <f>IF(Calculator!$E$11='GWP reference values'!$C$6,G58*'GWP reference values'!$D$6/1000,IF(Calculator!$E$11='GWP reference values'!$C$7,G58*'GWP reference values'!$D$7/1000,IF(Calculator!$E$11='GWP reference values'!$C$8,G58*'GWP reference values'!$D$8/1000,"Error")))</f>
        <v>9.9737405987401894E-3</v>
      </c>
      <c r="I58" s="2">
        <f t="shared" si="11"/>
        <v>25.135440407265406</v>
      </c>
      <c r="J58" s="3">
        <f t="shared" si="12"/>
        <v>64</v>
      </c>
    </row>
    <row r="59" spans="3:10" x14ac:dyDescent="0.25">
      <c r="C59" s="3">
        <v>65</v>
      </c>
      <c r="D59" s="3">
        <f t="shared" si="16"/>
        <v>6.9864999999999995</v>
      </c>
      <c r="E59" s="3">
        <f t="shared" si="17"/>
        <v>25.617166666666666</v>
      </c>
      <c r="F59" s="2">
        <f>(0.334*0.5^((C59+5)/6.31))*'EF Adjustment Table'!I$17</f>
        <v>2.3936160422115388E-4</v>
      </c>
      <c r="G59" s="8">
        <f t="shared" si="18"/>
        <v>0.31914880562820519</v>
      </c>
      <c r="H59" s="2">
        <f>IF(Calculator!$E$11='GWP reference values'!$C$6,G59*'GWP reference values'!$D$6/1000,IF(Calculator!$E$11='GWP reference values'!$C$7,G59*'GWP reference values'!$D$7/1000,IF(Calculator!$E$11='GWP reference values'!$C$8,G59*'GWP reference values'!$D$8/1000,"Error")))</f>
        <v>8.9361665575897458E-3</v>
      </c>
      <c r="I59" s="2">
        <f t="shared" si="11"/>
        <v>25.626102833224255</v>
      </c>
      <c r="J59" s="3">
        <f t="shared" si="12"/>
        <v>65</v>
      </c>
    </row>
    <row r="60" spans="3:10" x14ac:dyDescent="0.25">
      <c r="C60" s="3">
        <v>66</v>
      </c>
      <c r="D60" s="3">
        <f t="shared" si="16"/>
        <v>7.1205999999999996</v>
      </c>
      <c r="E60" s="3">
        <f t="shared" si="17"/>
        <v>26.108866666666664</v>
      </c>
      <c r="F60" s="2">
        <f>(0.334*0.5^((C60+5)/6.31))*'EF Adjustment Table'!I$17</f>
        <v>2.1446067717886016E-4</v>
      </c>
      <c r="G60" s="8">
        <f t="shared" si="18"/>
        <v>0.28594756957181355</v>
      </c>
      <c r="H60" s="2">
        <f>IF(Calculator!$E$11='GWP reference values'!$C$6,G60*'GWP reference values'!$D$6/1000,IF(Calculator!$E$11='GWP reference values'!$C$7,G60*'GWP reference values'!$D$7/1000,IF(Calculator!$E$11='GWP reference values'!$C$8,G60*'GWP reference values'!$D$8/1000,"Error")))</f>
        <v>8.00653194801078E-3</v>
      </c>
      <c r="I60" s="2">
        <f t="shared" si="11"/>
        <v>26.116873198614673</v>
      </c>
      <c r="J60" s="3">
        <f t="shared" si="12"/>
        <v>66</v>
      </c>
    </row>
    <row r="61" spans="3:10" x14ac:dyDescent="0.25">
      <c r="C61" s="3">
        <v>67</v>
      </c>
      <c r="D61" s="3">
        <f t="shared" si="16"/>
        <v>7.2546999999999997</v>
      </c>
      <c r="E61" s="3">
        <f t="shared" si="17"/>
        <v>26.600566666666666</v>
      </c>
      <c r="F61" s="2">
        <f>(0.334*0.5^((C61+5)/6.31))*'EF Adjustment Table'!I$17</f>
        <v>1.9215020807397527E-4</v>
      </c>
      <c r="G61" s="8">
        <f t="shared" si="18"/>
        <v>0.25620027743196699</v>
      </c>
      <c r="H61" s="2">
        <f>IF(Calculator!$E$11='GWP reference values'!$C$6,G61*'GWP reference values'!$D$6/1000,IF(Calculator!$E$11='GWP reference values'!$C$7,G61*'GWP reference values'!$D$7/1000,IF(Calculator!$E$11='GWP reference values'!$C$8,G61*'GWP reference values'!$D$8/1000,"Error")))</f>
        <v>7.1736077680950756E-3</v>
      </c>
      <c r="I61" s="2">
        <f t="shared" si="11"/>
        <v>26.607740274434761</v>
      </c>
      <c r="J61" s="3">
        <f t="shared" si="12"/>
        <v>67</v>
      </c>
    </row>
    <row r="62" spans="3:10" x14ac:dyDescent="0.25">
      <c r="C62" s="3">
        <v>68</v>
      </c>
      <c r="D62" s="3">
        <f t="shared" si="16"/>
        <v>7.3887999999999998</v>
      </c>
      <c r="E62" s="3">
        <f t="shared" si="17"/>
        <v>27.092266666666667</v>
      </c>
      <c r="F62" s="2">
        <f>(0.334*0.5^((C62+5)/6.31))*'EF Adjustment Table'!I$17</f>
        <v>1.7216071005911866E-4</v>
      </c>
      <c r="G62" s="8">
        <f t="shared" si="18"/>
        <v>0.22954761341215821</v>
      </c>
      <c r="H62" s="2">
        <f>IF(Calculator!$E$11='GWP reference values'!$C$6,G62*'GWP reference values'!$D$6/1000,IF(Calculator!$E$11='GWP reference values'!$C$7,G62*'GWP reference values'!$D$7/1000,IF(Calculator!$E$11='GWP reference values'!$C$8,G62*'GWP reference values'!$D$8/1000,"Error")))</f>
        <v>6.4273331755404298E-3</v>
      </c>
      <c r="I62" s="2">
        <f t="shared" si="11"/>
        <v>27.098693999842208</v>
      </c>
      <c r="J62" s="3">
        <f t="shared" si="12"/>
        <v>68</v>
      </c>
    </row>
    <row r="63" spans="3:10" x14ac:dyDescent="0.25">
      <c r="C63" s="3">
        <v>69</v>
      </c>
      <c r="D63" s="3">
        <f t="shared" si="16"/>
        <v>7.5228999999999999</v>
      </c>
      <c r="E63" s="3">
        <f t="shared" si="17"/>
        <v>27.583966666666665</v>
      </c>
      <c r="F63" s="2">
        <f>(0.334*0.5^((C63+5)/6.31))*'EF Adjustment Table'!I$17</f>
        <v>1.5425073116053672E-4</v>
      </c>
      <c r="G63" s="8">
        <f t="shared" si="18"/>
        <v>0.20566764154738229</v>
      </c>
      <c r="H63" s="2">
        <f>IF(Calculator!$E$11='GWP reference values'!$C$6,G63*'GWP reference values'!$D$6/1000,IF(Calculator!$E$11='GWP reference values'!$C$7,G63*'GWP reference values'!$D$7/1000,IF(Calculator!$E$11='GWP reference values'!$C$8,G63*'GWP reference values'!$D$8/1000,"Error")))</f>
        <v>5.7586939633267036E-3</v>
      </c>
      <c r="I63" s="2">
        <f t="shared" si="11"/>
        <v>27.589725360629991</v>
      </c>
      <c r="J63" s="3">
        <f t="shared" si="12"/>
        <v>69</v>
      </c>
    </row>
    <row r="64" spans="3:10" x14ac:dyDescent="0.25">
      <c r="C64" s="3">
        <v>70</v>
      </c>
      <c r="D64" s="3">
        <f t="shared" si="16"/>
        <v>7.657</v>
      </c>
      <c r="E64" s="3">
        <f t="shared" si="17"/>
        <v>28.075666666666667</v>
      </c>
      <c r="F64" s="2">
        <f>(0.334*0.5^((C64+5)/6.31))*'EF Adjustment Table'!I$17</f>
        <v>1.3820393779387724E-4</v>
      </c>
      <c r="G64" s="8">
        <f t="shared" si="18"/>
        <v>0.18427191705850299</v>
      </c>
      <c r="H64" s="2">
        <f>IF(Calculator!$E$11='GWP reference values'!$C$6,G64*'GWP reference values'!$D$6/1000,IF(Calculator!$E$11='GWP reference values'!$C$7,G64*'GWP reference values'!$D$7/1000,IF(Calculator!$E$11='GWP reference values'!$C$8,G64*'GWP reference values'!$D$8/1000,"Error")))</f>
        <v>5.1596136776380841E-3</v>
      </c>
      <c r="I64" s="2">
        <f t="shared" si="11"/>
        <v>28.080826280344304</v>
      </c>
      <c r="J64" s="3">
        <f t="shared" si="12"/>
        <v>70</v>
      </c>
    </row>
    <row r="65" spans="3:10" x14ac:dyDescent="0.25">
      <c r="C65" s="3">
        <v>71</v>
      </c>
      <c r="D65" s="3">
        <f t="shared" si="16"/>
        <v>7.7911000000000001</v>
      </c>
      <c r="E65" s="3">
        <f t="shared" si="17"/>
        <v>28.567366666666668</v>
      </c>
      <c r="F65" s="2">
        <f>(0.334*0.5^((C65+5)/6.31))*'EF Adjustment Table'!I$17</f>
        <v>1.2382650168351673E-4</v>
      </c>
      <c r="G65" s="8">
        <f t="shared" si="18"/>
        <v>0.16510200224468896</v>
      </c>
      <c r="H65" s="2">
        <f>IF(Calculator!$E$11='GWP reference values'!$C$6,G65*'GWP reference values'!$D$6/1000,IF(Calculator!$E$11='GWP reference values'!$C$7,G65*'GWP reference values'!$D$7/1000,IF(Calculator!$E$11='GWP reference values'!$C$8,G65*'GWP reference values'!$D$8/1000,"Error")))</f>
        <v>4.6228560628512909E-3</v>
      </c>
      <c r="I65" s="2">
        <f t="shared" si="11"/>
        <v>28.57198952272952</v>
      </c>
      <c r="J65" s="3">
        <f t="shared" si="12"/>
        <v>71</v>
      </c>
    </row>
    <row r="66" spans="3:10" x14ac:dyDescent="0.25">
      <c r="C66" s="3">
        <v>72</v>
      </c>
      <c r="D66" s="3">
        <f t="shared" si="16"/>
        <v>7.9252000000000002</v>
      </c>
      <c r="E66" s="3">
        <f t="shared" si="17"/>
        <v>29.059066666666666</v>
      </c>
      <c r="F66" s="2">
        <f>(0.334*0.5^((C66+5)/6.31))*'EF Adjustment Table'!I$17</f>
        <v>1.1094475862219057E-4</v>
      </c>
      <c r="G66" s="8">
        <f t="shared" si="18"/>
        <v>0.14792634482958741</v>
      </c>
      <c r="H66" s="2">
        <f>IF(Calculator!$E$11='GWP reference values'!$C$6,G66*'GWP reference values'!$D$6/1000,IF(Calculator!$E$11='GWP reference values'!$C$7,G66*'GWP reference values'!$D$7/1000,IF(Calculator!$E$11='GWP reference values'!$C$8,G66*'GWP reference values'!$D$8/1000,"Error")))</f>
        <v>4.1419376552284479E-3</v>
      </c>
      <c r="I66" s="2">
        <f t="shared" si="11"/>
        <v>29.063208604321893</v>
      </c>
      <c r="J66" s="3">
        <f t="shared" si="12"/>
        <v>72</v>
      </c>
    </row>
    <row r="67" spans="3:10" x14ac:dyDescent="0.25">
      <c r="C67" s="3">
        <v>73</v>
      </c>
      <c r="D67" s="3">
        <f t="shared" si="16"/>
        <v>8.0592999999999986</v>
      </c>
      <c r="E67" s="3">
        <f t="shared" si="17"/>
        <v>29.550766666666664</v>
      </c>
      <c r="F67" s="2">
        <f>(0.334*0.5^((C67+5)/6.31))*'EF Adjustment Table'!I$17</f>
        <v>9.940311079122275E-5</v>
      </c>
      <c r="G67" s="8">
        <f t="shared" si="18"/>
        <v>0.13253748105496369</v>
      </c>
      <c r="H67" s="2">
        <f>IF(Calculator!$E$11='GWP reference values'!$C$6,G67*'GWP reference values'!$D$6/1000,IF(Calculator!$E$11='GWP reference values'!$C$7,G67*'GWP reference values'!$D$7/1000,IF(Calculator!$E$11='GWP reference values'!$C$8,G67*'GWP reference values'!$D$8/1000,"Error")))</f>
        <v>3.7110494695389833E-3</v>
      </c>
      <c r="I67" s="2">
        <f t="shared" si="11"/>
        <v>29.554477716136205</v>
      </c>
      <c r="J67" s="3">
        <f t="shared" si="12"/>
        <v>73</v>
      </c>
    </row>
    <row r="68" spans="3:10" x14ac:dyDescent="0.25">
      <c r="C68" s="3">
        <v>74</v>
      </c>
      <c r="D68" s="3">
        <f t="shared" si="16"/>
        <v>8.1933999999999987</v>
      </c>
      <c r="E68" s="3">
        <f t="shared" si="17"/>
        <v>30.042466666666659</v>
      </c>
      <c r="F68" s="2">
        <f>(0.334*0.5^((C68+5)/6.31))*'EF Adjustment Table'!I$17</f>
        <v>8.9062147303602024E-5</v>
      </c>
      <c r="G68" s="8">
        <f t="shared" si="18"/>
        <v>0.11874952973813603</v>
      </c>
      <c r="H68" s="2">
        <f>IF(Calculator!$E$11='GWP reference values'!$C$6,G68*'GWP reference values'!$D$6/1000,IF(Calculator!$E$11='GWP reference values'!$C$7,G68*'GWP reference values'!$D$7/1000,IF(Calculator!$E$11='GWP reference values'!$C$8,G68*'GWP reference values'!$D$8/1000,"Error")))</f>
        <v>3.3249868326678091E-3</v>
      </c>
      <c r="I68" s="2">
        <f t="shared" si="11"/>
        <v>30.045791653499325</v>
      </c>
      <c r="J68" s="3">
        <f t="shared" si="12"/>
        <v>74</v>
      </c>
    </row>
    <row r="69" spans="3:10" x14ac:dyDescent="0.25">
      <c r="C69" s="3">
        <v>75</v>
      </c>
      <c r="D69" s="3">
        <f t="shared" si="16"/>
        <v>8.3274999999999988</v>
      </c>
      <c r="E69" s="3">
        <f t="shared" si="17"/>
        <v>30.534166666666664</v>
      </c>
      <c r="F69" s="2">
        <f>(0.334*0.5^((C69+5)/6.31))*'EF Adjustment Table'!I$17</f>
        <v>7.9796960268057365E-5</v>
      </c>
      <c r="G69" s="8">
        <f t="shared" si="18"/>
        <v>0.1063959470240765</v>
      </c>
      <c r="H69" s="2">
        <f>IF(Calculator!$E$11='GWP reference values'!$C$6,G69*'GWP reference values'!$D$6/1000,IF(Calculator!$E$11='GWP reference values'!$C$7,G69*'GWP reference values'!$D$7/1000,IF(Calculator!$E$11='GWP reference values'!$C$8,G69*'GWP reference values'!$D$8/1000,"Error")))</f>
        <v>2.979086516674142E-3</v>
      </c>
      <c r="I69" s="2">
        <f t="shared" si="11"/>
        <v>30.537145753183339</v>
      </c>
      <c r="J69" s="3">
        <f t="shared" si="12"/>
        <v>75</v>
      </c>
    </row>
    <row r="70" spans="3:10" x14ac:dyDescent="0.25">
      <c r="C70" s="3">
        <v>76</v>
      </c>
      <c r="D70" s="3">
        <f t="shared" si="16"/>
        <v>8.4615999999999989</v>
      </c>
      <c r="E70" s="3">
        <f t="shared" si="17"/>
        <v>31.025866666666666</v>
      </c>
      <c r="F70" s="2">
        <f>(0.334*0.5^((C70+5)/6.31))*'EF Adjustment Table'!I$17</f>
        <v>7.1495636033967294E-5</v>
      </c>
      <c r="G70" s="8">
        <f t="shared" si="18"/>
        <v>9.5327514711956385E-2</v>
      </c>
      <c r="H70" s="2">
        <f>IF(Calculator!$E$11='GWP reference values'!$C$6,G70*'GWP reference values'!$D$6/1000,IF(Calculator!$E$11='GWP reference values'!$C$7,G70*'GWP reference values'!$D$7/1000,IF(Calculator!$E$11='GWP reference values'!$C$8,G70*'GWP reference values'!$D$8/1000,"Error")))</f>
        <v>2.669170411934779E-3</v>
      </c>
      <c r="I70" s="2">
        <f t="shared" si="11"/>
        <v>31.0285358370786</v>
      </c>
      <c r="J70" s="3">
        <f t="shared" si="12"/>
        <v>76</v>
      </c>
    </row>
    <row r="71" spans="3:10" x14ac:dyDescent="0.25">
      <c r="C71" s="3">
        <v>77</v>
      </c>
      <c r="D71" s="3">
        <f t="shared" si="16"/>
        <v>8.595699999999999</v>
      </c>
      <c r="E71" s="3">
        <f t="shared" si="17"/>
        <v>31.51756666666666</v>
      </c>
      <c r="F71" s="2">
        <f>(0.334*0.5^((C71+5)/6.31))*'EF Adjustment Table'!I$17</f>
        <v>6.405790339294056E-5</v>
      </c>
      <c r="G71" s="8">
        <f t="shared" si="18"/>
        <v>8.5410537857254068E-2</v>
      </c>
      <c r="H71" s="2">
        <f>IF(Calculator!$E$11='GWP reference values'!$C$6,G71*'GWP reference values'!$D$6/1000,IF(Calculator!$E$11='GWP reference values'!$C$7,G71*'GWP reference values'!$D$7/1000,IF(Calculator!$E$11='GWP reference values'!$C$8,G71*'GWP reference values'!$D$8/1000,"Error")))</f>
        <v>2.391495060003114E-3</v>
      </c>
      <c r="I71" s="2">
        <f t="shared" si="11"/>
        <v>31.519958161726663</v>
      </c>
      <c r="J71" s="3">
        <f t="shared" si="12"/>
        <v>77</v>
      </c>
    </row>
    <row r="72" spans="3:10" x14ac:dyDescent="0.25">
      <c r="C72" s="3">
        <v>78</v>
      </c>
      <c r="D72" s="3">
        <f t="shared" si="16"/>
        <v>8.7297999999999991</v>
      </c>
      <c r="E72" s="3">
        <f t="shared" si="17"/>
        <v>32.009266666666662</v>
      </c>
      <c r="F72" s="2">
        <f>(0.334*0.5^((C72+5)/6.31))*'EF Adjustment Table'!I$17</f>
        <v>5.7393922408771744E-5</v>
      </c>
      <c r="G72" s="8">
        <f t="shared" si="18"/>
        <v>7.6525229878362327E-2</v>
      </c>
      <c r="H72" s="2">
        <f>IF(Calculator!$E$11='GWP reference values'!$C$6,G72*'GWP reference values'!$D$6/1000,IF(Calculator!$E$11='GWP reference values'!$C$7,G72*'GWP reference values'!$D$7/1000,IF(Calculator!$E$11='GWP reference values'!$C$8,G72*'GWP reference values'!$D$8/1000,"Error")))</f>
        <v>2.1427064365941452E-3</v>
      </c>
      <c r="I72" s="2">
        <f t="shared" si="11"/>
        <v>32.011409373103255</v>
      </c>
      <c r="J72" s="3">
        <f t="shared" si="12"/>
        <v>78</v>
      </c>
    </row>
    <row r="73" spans="3:10" x14ac:dyDescent="0.25">
      <c r="C73" s="3">
        <v>79</v>
      </c>
      <c r="D73" s="3">
        <f t="shared" si="16"/>
        <v>8.8638999999999992</v>
      </c>
      <c r="E73" s="3">
        <f t="shared" si="17"/>
        <v>32.500966666666663</v>
      </c>
      <c r="F73" s="2">
        <f>(0.334*0.5^((C73+5)/6.31))*'EF Adjustment Table'!I$17</f>
        <v>5.1423199246123478E-5</v>
      </c>
      <c r="G73" s="8">
        <f t="shared" si="18"/>
        <v>6.8564265661497967E-2</v>
      </c>
      <c r="H73" s="2">
        <f>IF(Calculator!$E$11='GWP reference values'!$C$6,G73*'GWP reference values'!$D$6/1000,IF(Calculator!$E$11='GWP reference values'!$C$7,G73*'GWP reference values'!$D$7/1000,IF(Calculator!$E$11='GWP reference values'!$C$8,G73*'GWP reference values'!$D$8/1000,"Error")))</f>
        <v>1.919799438521943E-3</v>
      </c>
      <c r="I73" s="2">
        <f t="shared" si="11"/>
        <v>32.502886466105188</v>
      </c>
      <c r="J73" s="3">
        <f t="shared" si="12"/>
        <v>79</v>
      </c>
    </row>
    <row r="74" spans="3:10" x14ac:dyDescent="0.25">
      <c r="C74" s="3">
        <v>80</v>
      </c>
      <c r="D74" s="3">
        <f t="shared" si="16"/>
        <v>8.9979999999999993</v>
      </c>
      <c r="E74" s="3">
        <f t="shared" si="17"/>
        <v>32.992666666666665</v>
      </c>
      <c r="F74" s="2">
        <f>(0.334*0.5^((C74+5)/6.31))*'EF Adjustment Table'!I$17</f>
        <v>4.6073613890211544E-5</v>
      </c>
      <c r="G74" s="8">
        <f t="shared" si="18"/>
        <v>6.1431485186948721E-2</v>
      </c>
      <c r="H74" s="2">
        <f>IF(Calculator!$E$11='GWP reference values'!$C$6,G74*'GWP reference values'!$D$6/1000,IF(Calculator!$E$11='GWP reference values'!$C$7,G74*'GWP reference values'!$D$7/1000,IF(Calculator!$E$11='GWP reference values'!$C$8,G74*'GWP reference values'!$D$8/1000,"Error")))</f>
        <v>1.7200815852345642E-3</v>
      </c>
      <c r="I74" s="2">
        <f t="shared" si="11"/>
        <v>32.994386748251898</v>
      </c>
      <c r="J74" s="3">
        <f t="shared" si="12"/>
        <v>80</v>
      </c>
    </row>
    <row r="75" spans="3:10" x14ac:dyDescent="0.25">
      <c r="C75" s="3">
        <v>81</v>
      </c>
      <c r="D75" s="3">
        <f t="shared" si="16"/>
        <v>9.1320999999999994</v>
      </c>
      <c r="E75" s="3">
        <f t="shared" si="17"/>
        <v>33.484366666666666</v>
      </c>
      <c r="F75" s="2">
        <f>(0.334*0.5^((C75+5)/6.31))*'EF Adjustment Table'!I$17</f>
        <v>4.1280549013377835E-5</v>
      </c>
      <c r="G75" s="8">
        <f t="shared" si="18"/>
        <v>5.5040732017837109E-2</v>
      </c>
      <c r="H75" s="2">
        <f>IF(Calculator!$E$11='GWP reference values'!$C$6,G75*'GWP reference values'!$D$6/1000,IF(Calculator!$E$11='GWP reference values'!$C$7,G75*'GWP reference values'!$D$7/1000,IF(Calculator!$E$11='GWP reference values'!$C$8,G75*'GWP reference values'!$D$8/1000,"Error")))</f>
        <v>1.5411404964994391E-3</v>
      </c>
      <c r="I75" s="2">
        <f t="shared" ref="I75:I94" si="19">SUM(H75,E75)</f>
        <v>33.485907807163166</v>
      </c>
      <c r="J75" s="3">
        <f t="shared" ref="J75:J94" si="20">C75</f>
        <v>81</v>
      </c>
    </row>
    <row r="76" spans="3:10" x14ac:dyDescent="0.25">
      <c r="C76" s="3">
        <v>82</v>
      </c>
      <c r="D76" s="3">
        <f t="shared" si="16"/>
        <v>9.2661999999999995</v>
      </c>
      <c r="E76" s="3">
        <f t="shared" si="17"/>
        <v>33.976066666666668</v>
      </c>
      <c r="F76" s="2">
        <f>(0.334*0.5^((C76+5)/6.31))*'EF Adjustment Table'!I$17</f>
        <v>3.6986109466180364E-5</v>
      </c>
      <c r="G76" s="8">
        <f t="shared" si="18"/>
        <v>4.9314812621573813E-2</v>
      </c>
      <c r="H76" s="2">
        <f>IF(Calculator!$E$11='GWP reference values'!$C$6,G76*'GWP reference values'!$D$6/1000,IF(Calculator!$E$11='GWP reference values'!$C$7,G76*'GWP reference values'!$D$7/1000,IF(Calculator!$E$11='GWP reference values'!$C$8,G76*'GWP reference values'!$D$8/1000,"Error")))</f>
        <v>1.3808147534040667E-3</v>
      </c>
      <c r="I76" s="2">
        <f t="shared" si="19"/>
        <v>33.977447481420072</v>
      </c>
      <c r="J76" s="3">
        <f t="shared" si="20"/>
        <v>82</v>
      </c>
    </row>
    <row r="77" spans="3:10" x14ac:dyDescent="0.25">
      <c r="C77" s="3">
        <v>83</v>
      </c>
      <c r="D77" s="3">
        <f t="shared" si="16"/>
        <v>9.4002999999999997</v>
      </c>
      <c r="E77" s="3">
        <f t="shared" si="17"/>
        <v>34.467766666666662</v>
      </c>
      <c r="F77" s="2">
        <f>(0.334*0.5^((C77+5)/6.31))*'EF Adjustment Table'!I$17</f>
        <v>3.3138422965279771E-5</v>
      </c>
      <c r="G77" s="8">
        <f t="shared" si="18"/>
        <v>4.4184563953706367E-2</v>
      </c>
      <c r="H77" s="2">
        <f>IF(Calculator!$E$11='GWP reference values'!$C$6,G77*'GWP reference values'!$D$6/1000,IF(Calculator!$E$11='GWP reference values'!$C$7,G77*'GWP reference values'!$D$7/1000,IF(Calculator!$E$11='GWP reference values'!$C$8,G77*'GWP reference values'!$D$8/1000,"Error")))</f>
        <v>1.2371677907037784E-3</v>
      </c>
      <c r="I77" s="2">
        <f t="shared" si="19"/>
        <v>34.469003834457368</v>
      </c>
      <c r="J77" s="3">
        <f t="shared" si="20"/>
        <v>83</v>
      </c>
    </row>
    <row r="78" spans="3:10" x14ac:dyDescent="0.25">
      <c r="C78" s="3">
        <v>84</v>
      </c>
      <c r="D78" s="3">
        <f t="shared" si="16"/>
        <v>9.5343999999999998</v>
      </c>
      <c r="E78" s="3">
        <f t="shared" si="17"/>
        <v>34.959466666666664</v>
      </c>
      <c r="F78" s="2">
        <f>(0.334*0.5^((C78+5)/6.31))*'EF Adjustment Table'!I$17</f>
        <v>2.9691013531172311E-5</v>
      </c>
      <c r="G78" s="8">
        <f t="shared" si="18"/>
        <v>3.9588018041563082E-2</v>
      </c>
      <c r="H78" s="2">
        <f>IF(Calculator!$E$11='GWP reference values'!$C$6,G78*'GWP reference values'!$D$6/1000,IF(Calculator!$E$11='GWP reference values'!$C$7,G78*'GWP reference values'!$D$7/1000,IF(Calculator!$E$11='GWP reference values'!$C$8,G78*'GWP reference values'!$D$8/1000,"Error")))</f>
        <v>1.1084645051637663E-3</v>
      </c>
      <c r="I78" s="2">
        <f t="shared" si="19"/>
        <v>34.960575131171829</v>
      </c>
      <c r="J78" s="3">
        <f t="shared" si="20"/>
        <v>84</v>
      </c>
    </row>
    <row r="79" spans="3:10" x14ac:dyDescent="0.25">
      <c r="C79" s="3">
        <v>85</v>
      </c>
      <c r="D79" s="3">
        <f t="shared" si="16"/>
        <v>9.6684999999999999</v>
      </c>
      <c r="E79" s="3">
        <f t="shared" si="17"/>
        <v>35.451166666666666</v>
      </c>
      <c r="F79" s="2">
        <f>(0.334*0.5^((C79+5)/6.31))*'EF Adjustment Table'!I$17</f>
        <v>2.6602240107560083E-5</v>
      </c>
      <c r="G79" s="8">
        <f t="shared" si="18"/>
        <v>3.5469653476746778E-2</v>
      </c>
      <c r="H79" s="2">
        <f>IF(Calculator!$E$11='GWP reference values'!$C$6,G79*'GWP reference values'!$D$6/1000,IF(Calculator!$E$11='GWP reference values'!$C$7,G79*'GWP reference values'!$D$7/1000,IF(Calculator!$E$11='GWP reference values'!$C$8,G79*'GWP reference values'!$D$8/1000,"Error")))</f>
        <v>9.9315029734890975E-4</v>
      </c>
      <c r="I79" s="2">
        <f t="shared" si="19"/>
        <v>35.452159816964013</v>
      </c>
      <c r="J79" s="3">
        <f t="shared" si="20"/>
        <v>85</v>
      </c>
    </row>
    <row r="80" spans="3:10" x14ac:dyDescent="0.25">
      <c r="C80" s="3">
        <v>86</v>
      </c>
      <c r="D80" s="3">
        <f t="shared" si="16"/>
        <v>9.8026</v>
      </c>
      <c r="E80" s="3">
        <f t="shared" si="17"/>
        <v>35.942866666666667</v>
      </c>
      <c r="F80" s="2">
        <f>(0.334*0.5^((C80+5)/6.31))*'EF Adjustment Table'!I$17</f>
        <v>2.3834793581475215E-5</v>
      </c>
      <c r="G80" s="8">
        <f t="shared" si="18"/>
        <v>3.1779724775300285E-2</v>
      </c>
      <c r="H80" s="2">
        <f>IF(Calculator!$E$11='GWP reference values'!$C$6,G80*'GWP reference values'!$D$6/1000,IF(Calculator!$E$11='GWP reference values'!$C$7,G80*'GWP reference values'!$D$7/1000,IF(Calculator!$E$11='GWP reference values'!$C$8,G80*'GWP reference values'!$D$8/1000,"Error")))</f>
        <v>8.8983229370840798E-4</v>
      </c>
      <c r="I80" s="2">
        <f t="shared" si="19"/>
        <v>35.943756498960376</v>
      </c>
      <c r="J80" s="3">
        <f t="shared" si="20"/>
        <v>86</v>
      </c>
    </row>
    <row r="81" spans="2:10" x14ac:dyDescent="0.25">
      <c r="C81" s="3">
        <v>87</v>
      </c>
      <c r="D81" s="3">
        <f t="shared" si="16"/>
        <v>9.9367000000000001</v>
      </c>
      <c r="E81" s="3">
        <f t="shared" si="17"/>
        <v>36.434566666666669</v>
      </c>
      <c r="F81" s="2">
        <f>(0.334*0.5^((C81+5)/6.31))*'EF Adjustment Table'!I$17</f>
        <v>2.1355246128692925E-5</v>
      </c>
      <c r="G81" s="8">
        <f t="shared" si="18"/>
        <v>2.8473661504923902E-2</v>
      </c>
      <c r="H81" s="2">
        <f>IF(Calculator!$E$11='GWP reference values'!$C$6,G81*'GWP reference values'!$D$6/1000,IF(Calculator!$E$11='GWP reference values'!$C$7,G81*'GWP reference values'!$D$7/1000,IF(Calculator!$E$11='GWP reference values'!$C$8,G81*'GWP reference values'!$D$8/1000,"Error")))</f>
        <v>7.9726252213786926E-4</v>
      </c>
      <c r="I81" s="2">
        <f t="shared" si="19"/>
        <v>36.43536392918881</v>
      </c>
      <c r="J81" s="3">
        <f t="shared" si="20"/>
        <v>87</v>
      </c>
    </row>
    <row r="82" spans="2:10" x14ac:dyDescent="0.25">
      <c r="C82" s="3">
        <v>88</v>
      </c>
      <c r="D82" s="3">
        <f t="shared" si="16"/>
        <v>10.070799999999998</v>
      </c>
      <c r="E82" s="3">
        <f t="shared" si="17"/>
        <v>36.926266666666656</v>
      </c>
      <c r="F82" s="2">
        <f>(0.334*0.5^((C82+5)/6.31))*'EF Adjustment Table'!I$17</f>
        <v>1.9133647441004104E-5</v>
      </c>
      <c r="G82" s="8">
        <f t="shared" si="18"/>
        <v>2.5511529921338805E-2</v>
      </c>
      <c r="H82" s="2">
        <f>IF(Calculator!$E$11='GWP reference values'!$C$6,G82*'GWP reference values'!$D$6/1000,IF(Calculator!$E$11='GWP reference values'!$C$7,G82*'GWP reference values'!$D$7/1000,IF(Calculator!$E$11='GWP reference values'!$C$8,G82*'GWP reference values'!$D$8/1000,"Error")))</f>
        <v>7.1432283779748653E-4</v>
      </c>
      <c r="I82" s="2">
        <f t="shared" si="19"/>
        <v>36.92698098950445</v>
      </c>
      <c r="J82" s="3">
        <f t="shared" si="20"/>
        <v>88</v>
      </c>
    </row>
    <row r="83" spans="2:10" x14ac:dyDescent="0.25">
      <c r="C83" s="3">
        <v>89</v>
      </c>
      <c r="D83" s="3">
        <f t="shared" si="16"/>
        <v>10.204899999999999</v>
      </c>
      <c r="E83" s="3">
        <f t="shared" si="17"/>
        <v>37.417966666666658</v>
      </c>
      <c r="F83" s="2">
        <f>(0.334*0.5^((C83+5)/6.31))*'EF Adjustment Table'!I$17</f>
        <v>1.7143162958199518E-5</v>
      </c>
      <c r="G83" s="8">
        <f t="shared" si="18"/>
        <v>2.2857550610932687E-2</v>
      </c>
      <c r="H83" s="2">
        <f>IF(Calculator!$E$11='GWP reference values'!$C$6,G83*'GWP reference values'!$D$6/1000,IF(Calculator!$E$11='GWP reference values'!$C$7,G83*'GWP reference values'!$D$7/1000,IF(Calculator!$E$11='GWP reference values'!$C$8,G83*'GWP reference values'!$D$8/1000,"Error")))</f>
        <v>6.4001141710611517E-4</v>
      </c>
      <c r="I83" s="2">
        <f t="shared" si="19"/>
        <v>37.418606678083762</v>
      </c>
      <c r="J83" s="3">
        <f t="shared" si="20"/>
        <v>89</v>
      </c>
    </row>
    <row r="84" spans="2:10" x14ac:dyDescent="0.25">
      <c r="C84" s="3">
        <v>90</v>
      </c>
      <c r="D84" s="3">
        <f t="shared" si="16"/>
        <v>10.338999999999999</v>
      </c>
      <c r="E84" s="3">
        <f t="shared" si="17"/>
        <v>37.909666666666666</v>
      </c>
      <c r="F84" s="2">
        <f>(0.334*0.5^((C84+5)/6.31))*'EF Adjustment Table'!I$17</f>
        <v>1.5359749734991548E-5</v>
      </c>
      <c r="G84" s="8">
        <f t="shared" si="18"/>
        <v>2.0479666313322063E-2</v>
      </c>
      <c r="H84" s="2">
        <f>IF(Calculator!$E$11='GWP reference values'!$C$6,G84*'GWP reference values'!$D$6/1000,IF(Calculator!$E$11='GWP reference values'!$C$7,G84*'GWP reference values'!$D$7/1000,IF(Calculator!$E$11='GWP reference values'!$C$8,G84*'GWP reference values'!$D$8/1000,"Error")))</f>
        <v>5.734306567730178E-4</v>
      </c>
      <c r="I84" s="2">
        <f t="shared" si="19"/>
        <v>37.910240097323438</v>
      </c>
      <c r="J84" s="3">
        <f t="shared" si="20"/>
        <v>90</v>
      </c>
    </row>
    <row r="85" spans="2:10" x14ac:dyDescent="0.25">
      <c r="C85" s="3">
        <v>91</v>
      </c>
      <c r="D85" s="3">
        <f t="shared" si="16"/>
        <v>10.473099999999999</v>
      </c>
      <c r="E85" s="3">
        <f t="shared" si="17"/>
        <v>38.401366666666661</v>
      </c>
      <c r="F85" s="2">
        <f>(0.334*0.5^((C85+5)/6.31))*'EF Adjustment Table'!I$17</f>
        <v>1.3761866027688446E-5</v>
      </c>
      <c r="G85" s="8">
        <f t="shared" si="18"/>
        <v>1.8349154703584596E-2</v>
      </c>
      <c r="H85" s="2">
        <f>IF(Calculator!$E$11='GWP reference values'!$C$6,G85*'GWP reference values'!$D$6/1000,IF(Calculator!$E$11='GWP reference values'!$C$7,G85*'GWP reference values'!$D$7/1000,IF(Calculator!$E$11='GWP reference values'!$C$8,G85*'GWP reference values'!$D$8/1000,"Error")))</f>
        <v>5.1377633170036875E-4</v>
      </c>
      <c r="I85" s="2">
        <f t="shared" si="19"/>
        <v>38.401880442998362</v>
      </c>
      <c r="J85" s="3">
        <f t="shared" si="20"/>
        <v>91</v>
      </c>
    </row>
    <row r="86" spans="2:10" x14ac:dyDescent="0.25">
      <c r="C86" s="3">
        <v>92</v>
      </c>
      <c r="D86" s="3">
        <f t="shared" si="16"/>
        <v>10.607199999999999</v>
      </c>
      <c r="E86" s="3">
        <f t="shared" si="17"/>
        <v>38.893066666666662</v>
      </c>
      <c r="F86" s="2">
        <f>(0.334*0.5^((C86+5)/6.31))*'EF Adjustment Table'!I$17</f>
        <v>1.2330211092736246E-5</v>
      </c>
      <c r="G86" s="8">
        <f t="shared" si="18"/>
        <v>1.6440281456981662E-2</v>
      </c>
      <c r="H86" s="2">
        <f>IF(Calculator!$E$11='GWP reference values'!$C$6,G86*'GWP reference values'!$D$6/1000,IF(Calculator!$E$11='GWP reference values'!$C$7,G86*'GWP reference values'!$D$7/1000,IF(Calculator!$E$11='GWP reference values'!$C$8,G86*'GWP reference values'!$D$8/1000,"Error")))</f>
        <v>4.6032788079548653E-4</v>
      </c>
      <c r="I86" s="2">
        <f t="shared" si="19"/>
        <v>38.893526994547457</v>
      </c>
      <c r="J86" s="3">
        <f t="shared" si="20"/>
        <v>92</v>
      </c>
    </row>
    <row r="87" spans="2:10" x14ac:dyDescent="0.25">
      <c r="C87" s="3">
        <v>93</v>
      </c>
      <c r="D87" s="3">
        <f t="shared" si="16"/>
        <v>10.741299999999999</v>
      </c>
      <c r="E87" s="3">
        <f t="shared" si="17"/>
        <v>39.384766666666664</v>
      </c>
      <c r="F87" s="2">
        <f>(0.334*0.5^((C87+5)/6.31))*'EF Adjustment Table'!I$17</f>
        <v>1.1047492054169677E-5</v>
      </c>
      <c r="G87" s="8">
        <f t="shared" si="18"/>
        <v>1.4729989405559569E-2</v>
      </c>
      <c r="H87" s="2">
        <f>IF(Calculator!$E$11='GWP reference values'!$C$6,G87*'GWP reference values'!$D$6/1000,IF(Calculator!$E$11='GWP reference values'!$C$7,G87*'GWP reference values'!$D$7/1000,IF(Calculator!$E$11='GWP reference values'!$C$8,G87*'GWP reference values'!$D$8/1000,"Error")))</f>
        <v>4.1243970335566794E-4</v>
      </c>
      <c r="I87" s="2">
        <f t="shared" si="19"/>
        <v>39.385179106370018</v>
      </c>
      <c r="J87" s="3">
        <f t="shared" si="20"/>
        <v>93</v>
      </c>
    </row>
    <row r="88" spans="2:10" x14ac:dyDescent="0.25">
      <c r="C88" s="3">
        <v>94</v>
      </c>
      <c r="D88" s="3">
        <f t="shared" ref="D88:D93" si="21">0.1341*C88-1.73</f>
        <v>10.875399999999999</v>
      </c>
      <c r="E88" s="3">
        <f t="shared" ref="E88:E93" si="22">D88/12*44</f>
        <v>39.876466666666659</v>
      </c>
      <c r="F88" s="2">
        <f>(0.334*0.5^((C88+5)/6.31))*'EF Adjustment Table'!I$17</f>
        <v>9.8982150239780193E-6</v>
      </c>
      <c r="G88" s="8">
        <f t="shared" ref="G88:G93" si="23">F88*1000*16/12</f>
        <v>1.3197620031970692E-2</v>
      </c>
      <c r="H88" s="2">
        <f>IF(Calculator!$E$11='GWP reference values'!$C$6,G88*'GWP reference values'!$D$6/1000,IF(Calculator!$E$11='GWP reference values'!$C$7,G88*'GWP reference values'!$D$7/1000,IF(Calculator!$E$11='GWP reference values'!$C$8,G88*'GWP reference values'!$D$8/1000,"Error")))</f>
        <v>3.6953336089517937E-4</v>
      </c>
      <c r="I88" s="2">
        <f t="shared" si="19"/>
        <v>39.876836200027554</v>
      </c>
      <c r="J88" s="3">
        <f t="shared" si="20"/>
        <v>94</v>
      </c>
    </row>
    <row r="89" spans="2:10" x14ac:dyDescent="0.25">
      <c r="C89" s="3">
        <v>95</v>
      </c>
      <c r="D89" s="3">
        <f t="shared" si="21"/>
        <v>11.009499999999999</v>
      </c>
      <c r="E89" s="3">
        <f t="shared" si="22"/>
        <v>40.368166666666667</v>
      </c>
      <c r="F89" s="2">
        <f>(0.334*0.5^((C89+5)/6.31))*'EF Adjustment Table'!I$17</f>
        <v>8.868497952340725E-6</v>
      </c>
      <c r="G89" s="8">
        <f t="shared" si="23"/>
        <v>1.18246639364543E-2</v>
      </c>
      <c r="H89" s="2">
        <f>IF(Calculator!$E$11='GWP reference values'!$C$6,G89*'GWP reference values'!$D$6/1000,IF(Calculator!$E$11='GWP reference values'!$C$7,G89*'GWP reference values'!$D$7/1000,IF(Calculator!$E$11='GWP reference values'!$C$8,G89*'GWP reference values'!$D$8/1000,"Error")))</f>
        <v>3.3109059022072042E-4</v>
      </c>
      <c r="I89" s="2">
        <f t="shared" si="19"/>
        <v>40.36849775725689</v>
      </c>
      <c r="J89" s="3">
        <f t="shared" si="20"/>
        <v>95</v>
      </c>
    </row>
    <row r="90" spans="2:10" x14ac:dyDescent="0.25">
      <c r="C90" s="3">
        <v>96</v>
      </c>
      <c r="D90" s="3">
        <f t="shared" si="21"/>
        <v>11.143599999999999</v>
      </c>
      <c r="E90" s="3">
        <f t="shared" si="22"/>
        <v>40.859866666666669</v>
      </c>
      <c r="F90" s="2">
        <f>(0.334*0.5^((C90+5)/6.31))*'EF Adjustment Table'!I$17</f>
        <v>7.9459029471621486E-6</v>
      </c>
      <c r="G90" s="8">
        <f t="shared" si="23"/>
        <v>1.0594537262882864E-2</v>
      </c>
      <c r="H90" s="2">
        <f>IF(Calculator!$E$11='GWP reference values'!$C$6,G90*'GWP reference values'!$D$6/1000,IF(Calculator!$E$11='GWP reference values'!$C$7,G90*'GWP reference values'!$D$7/1000,IF(Calculator!$E$11='GWP reference values'!$C$8,G90*'GWP reference values'!$D$8/1000,"Error")))</f>
        <v>2.9664704336072016E-4</v>
      </c>
      <c r="I90" s="2">
        <f t="shared" si="19"/>
        <v>40.860163313710032</v>
      </c>
      <c r="J90" s="3">
        <f t="shared" si="20"/>
        <v>96</v>
      </c>
    </row>
    <row r="91" spans="2:10" x14ac:dyDescent="0.25">
      <c r="C91" s="3">
        <v>97</v>
      </c>
      <c r="D91" s="3">
        <f t="shared" si="21"/>
        <v>11.277699999999999</v>
      </c>
      <c r="E91" s="3">
        <f t="shared" si="22"/>
        <v>41.351566666666663</v>
      </c>
      <c r="F91" s="2">
        <f>(0.334*0.5^((C91+5)/6.31))*'EF Adjustment Table'!I$17</f>
        <v>7.1192860375026343E-6</v>
      </c>
      <c r="G91" s="8">
        <f t="shared" si="23"/>
        <v>9.492381383336846E-3</v>
      </c>
      <c r="H91" s="2">
        <f>IF(Calculator!$E$11='GWP reference values'!$C$6,G91*'GWP reference values'!$D$6/1000,IF(Calculator!$E$11='GWP reference values'!$C$7,G91*'GWP reference values'!$D$7/1000,IF(Calculator!$E$11='GWP reference values'!$C$8,G91*'GWP reference values'!$D$8/1000,"Error")))</f>
        <v>2.6578667873343171E-4</v>
      </c>
      <c r="I91" s="2">
        <f t="shared" si="19"/>
        <v>41.351832453345395</v>
      </c>
      <c r="J91" s="3">
        <f t="shared" si="20"/>
        <v>97</v>
      </c>
    </row>
    <row r="92" spans="2:10" x14ac:dyDescent="0.25">
      <c r="C92" s="3">
        <v>98</v>
      </c>
      <c r="D92" s="3">
        <f t="shared" si="21"/>
        <v>11.411799999999999</v>
      </c>
      <c r="E92" s="3">
        <f t="shared" si="22"/>
        <v>41.843266666666665</v>
      </c>
      <c r="F92" s="2">
        <f>(0.334*0.5^((C92+5)/6.31))*'EF Adjustment Table'!I$17</f>
        <v>6.3786625662073735E-6</v>
      </c>
      <c r="G92" s="8">
        <f t="shared" si="23"/>
        <v>8.5048834216098317E-3</v>
      </c>
      <c r="H92" s="2">
        <f>IF(Calculator!$E$11='GWP reference values'!$C$6,G92*'GWP reference values'!$D$6/1000,IF(Calculator!$E$11='GWP reference values'!$C$7,G92*'GWP reference values'!$D$7/1000,IF(Calculator!$E$11='GWP reference values'!$C$8,G92*'GWP reference values'!$D$8/1000,"Error")))</f>
        <v>2.3813673580507527E-4</v>
      </c>
      <c r="I92" s="2">
        <f t="shared" si="19"/>
        <v>41.843504803402467</v>
      </c>
      <c r="J92" s="3">
        <f t="shared" si="20"/>
        <v>98</v>
      </c>
    </row>
    <row r="93" spans="2:10" x14ac:dyDescent="0.25">
      <c r="C93" s="3">
        <v>99</v>
      </c>
      <c r="D93" s="3">
        <f t="shared" si="21"/>
        <v>11.5459</v>
      </c>
      <c r="E93" s="3">
        <f t="shared" si="22"/>
        <v>42.334966666666666</v>
      </c>
      <c r="F93" s="2">
        <f>(0.334*0.5^((C93+5)/6.31))*'EF Adjustment Table'!I$17</f>
        <v>5.715086585818358E-6</v>
      </c>
      <c r="G93" s="8">
        <f t="shared" si="23"/>
        <v>7.6201154477578102E-3</v>
      </c>
      <c r="H93" s="2">
        <f>IF(Calculator!$E$11='GWP reference values'!$C$6,G93*'GWP reference values'!$D$6/1000,IF(Calculator!$E$11='GWP reference values'!$C$7,G93*'GWP reference values'!$D$7/1000,IF(Calculator!$E$11='GWP reference values'!$C$8,G93*'GWP reference values'!$D$8/1000,"Error")))</f>
        <v>2.1336323253721867E-4</v>
      </c>
      <c r="I93" s="2">
        <f t="shared" si="19"/>
        <v>42.335180029899206</v>
      </c>
      <c r="J93" s="3">
        <f t="shared" si="20"/>
        <v>99</v>
      </c>
    </row>
    <row r="94" spans="2:10" x14ac:dyDescent="0.25">
      <c r="B94" s="4"/>
      <c r="C94" s="14">
        <v>100</v>
      </c>
      <c r="D94" s="14">
        <f t="shared" si="0"/>
        <v>11.68</v>
      </c>
      <c r="E94" s="14">
        <f t="shared" si="1"/>
        <v>42.826666666666661</v>
      </c>
      <c r="F94" s="15">
        <f>(0.334*0.5^((C94+5)/6.31))*'EF Adjustment Table'!I$17</f>
        <v>5.120542800999934E-6</v>
      </c>
      <c r="G94" s="16">
        <f t="shared" si="2"/>
        <v>6.8273904013332462E-3</v>
      </c>
      <c r="H94" s="2">
        <f>IF(Calculator!$E$11='GWP reference values'!$C$6,G94*'GWP reference values'!$D$6/1000,IF(Calculator!$E$11='GWP reference values'!$C$7,G94*'GWP reference values'!$D$7/1000,IF(Calculator!$E$11='GWP reference values'!$C$8,G94*'GWP reference values'!$D$8/1000,"Error")))</f>
        <v>1.9116693123733089E-4</v>
      </c>
      <c r="I94" s="15">
        <f t="shared" si="19"/>
        <v>42.826857833597899</v>
      </c>
      <c r="J94" s="14">
        <f t="shared" si="20"/>
        <v>100</v>
      </c>
    </row>
    <row r="96" spans="2:10" x14ac:dyDescent="0.25">
      <c r="B96" t="s">
        <v>262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J96"/>
  <sheetViews>
    <sheetView workbookViewId="0">
      <selection activeCell="F8" sqref="F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265</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Table'!$D$18</f>
        <v>36.858518066571754</v>
      </c>
      <c r="D7" s="10">
        <f>0.1341*C7-1.73</f>
        <v>3.2127272727272724</v>
      </c>
      <c r="E7" s="10">
        <f>D7/12*44</f>
        <v>11.78</v>
      </c>
      <c r="F7" s="11">
        <f>(0.334*0.5^((C7+5)/6.31))*'EF Adjustment Table'!I$18</f>
        <v>5.1547809949736914E-3</v>
      </c>
      <c r="G7" s="12">
        <f>F7*1000*16/12</f>
        <v>6.8730413266315891</v>
      </c>
      <c r="H7" s="2">
        <f>IF(Calculator!$E$11='GWP reference values'!$C$6,G7*'GWP reference values'!$D$6/1000,IF(Calculator!$E$11='GWP reference values'!$C$7,G7*'GWP reference values'!$D$7/1000,IF(Calculator!$E$11='GWP reference values'!$C$8,G7*'GWP reference values'!$D$8/1000,"Error")))</f>
        <v>0.1924451571456845</v>
      </c>
      <c r="I7" s="2">
        <f>SUM(H7,E7)</f>
        <v>11.972445157145684</v>
      </c>
      <c r="J7" s="3">
        <f>C7</f>
        <v>36.858518066571754</v>
      </c>
    </row>
    <row r="8" spans="2:10" x14ac:dyDescent="0.25">
      <c r="B8" s="1" t="s">
        <v>249</v>
      </c>
      <c r="C8" s="3">
        <v>14</v>
      </c>
      <c r="D8" s="3">
        <f t="shared" ref="D8:D94" si="0">0.1341*C8-1.73</f>
        <v>0.14739999999999998</v>
      </c>
      <c r="E8" s="3">
        <f t="shared" ref="E8:E94" si="1">D8/12*44</f>
        <v>0.54046666666666665</v>
      </c>
      <c r="F8" s="2">
        <f>(0.334*0.5^((C8+5)/6.31))*'EF Adjustment Table'!I$18</f>
        <v>6.3491748302507034E-2</v>
      </c>
      <c r="G8" s="17">
        <f t="shared" ref="G8:G94" si="2">F8*1000*16/12</f>
        <v>84.655664403342712</v>
      </c>
      <c r="H8" s="66">
        <f>IF(Calculator!$E$11='GWP reference values'!$C$6,G8*'GWP reference values'!$D$6/1000,IF(Calculator!$E$11='GWP reference values'!$C$7,G8*'GWP reference values'!$D$7/1000,IF(Calculator!$E$11='GWP reference values'!$C$8,G8*'GWP reference values'!$D$8/1000,"Error")))</f>
        <v>2.3703586032935959</v>
      </c>
      <c r="I8" s="66">
        <f>SUM(H8,E8)</f>
        <v>2.9108252699602626</v>
      </c>
      <c r="J8" s="67">
        <f>C8</f>
        <v>14</v>
      </c>
    </row>
    <row r="9" spans="2:10" x14ac:dyDescent="0.25">
      <c r="C9" s="3">
        <v>15</v>
      </c>
      <c r="D9" s="3">
        <f t="shared" si="0"/>
        <v>0.28149999999999986</v>
      </c>
      <c r="E9" s="3">
        <f t="shared" si="1"/>
        <v>1.032166666666666</v>
      </c>
      <c r="F9" s="2">
        <f>(0.334*0.5^((C9+5)/6.31))*'EF Adjustment Table'!I$18</f>
        <v>5.6886664762008758E-2</v>
      </c>
      <c r="G9" s="17">
        <f t="shared" si="2"/>
        <v>75.848886349345008</v>
      </c>
      <c r="H9" s="2">
        <f>IF(Calculator!$E$11='GWP reference values'!$C$6,G9*'GWP reference values'!$D$6/1000,IF(Calculator!$E$11='GWP reference values'!$C$7,G9*'GWP reference values'!$D$7/1000,IF(Calculator!$E$11='GWP reference values'!$C$8,G9*'GWP reference values'!$D$8/1000,"Error")))</f>
        <v>2.1237688177816603</v>
      </c>
      <c r="I9" s="2">
        <f t="shared" ref="I9:I11" si="3">SUM(H9,E9)</f>
        <v>3.1559354844483263</v>
      </c>
      <c r="J9" s="3">
        <f t="shared" ref="J9:J11" si="4">C9</f>
        <v>15</v>
      </c>
    </row>
    <row r="10" spans="2:10" x14ac:dyDescent="0.25">
      <c r="C10" s="3">
        <v>16</v>
      </c>
      <c r="D10" s="3">
        <f t="shared" si="0"/>
        <v>0.41559999999999997</v>
      </c>
      <c r="E10" s="3">
        <f t="shared" si="1"/>
        <v>1.5238666666666665</v>
      </c>
      <c r="F10" s="2">
        <f>(0.334*0.5^((C10+5)/6.31))*'EF Adjustment Table'!I$18</f>
        <v>5.0968711907676163E-2</v>
      </c>
      <c r="G10" s="17">
        <f t="shared" si="2"/>
        <v>67.958282543568217</v>
      </c>
      <c r="H10" s="2">
        <f>IF(Calculator!$E$11='GWP reference values'!$C$6,G10*'GWP reference values'!$D$6/1000,IF(Calculator!$E$11='GWP reference values'!$C$7,G10*'GWP reference values'!$D$7/1000,IF(Calculator!$E$11='GWP reference values'!$C$8,G10*'GWP reference values'!$D$8/1000,"Error")))</f>
        <v>1.9028319112199101</v>
      </c>
      <c r="I10" s="2">
        <f t="shared" si="3"/>
        <v>3.4266985778865768</v>
      </c>
      <c r="J10" s="3">
        <f t="shared" si="4"/>
        <v>16</v>
      </c>
    </row>
    <row r="11" spans="2:10" x14ac:dyDescent="0.25">
      <c r="C11" s="3">
        <v>17</v>
      </c>
      <c r="D11" s="3">
        <f t="shared" si="0"/>
        <v>0.54970000000000008</v>
      </c>
      <c r="E11" s="3">
        <f t="shared" si="1"/>
        <v>2.015566666666667</v>
      </c>
      <c r="F11" s="2">
        <f>(0.334*0.5^((C11+5)/6.31))*'EF Adjustment Table'!I$18</f>
        <v>4.5666407134183275E-2</v>
      </c>
      <c r="G11" s="17">
        <f t="shared" si="2"/>
        <v>60.888542845577696</v>
      </c>
      <c r="H11" s="2">
        <f>IF(Calculator!$E$11='GWP reference values'!$C$6,G11*'GWP reference values'!$D$6/1000,IF(Calculator!$E$11='GWP reference values'!$C$7,G11*'GWP reference values'!$D$7/1000,IF(Calculator!$E$11='GWP reference values'!$C$8,G11*'GWP reference values'!$D$8/1000,"Error")))</f>
        <v>1.7048791996761754</v>
      </c>
      <c r="I11" s="2">
        <f t="shared" si="3"/>
        <v>3.7204458663428426</v>
      </c>
      <c r="J11" s="3">
        <f t="shared" si="4"/>
        <v>17</v>
      </c>
    </row>
    <row r="12" spans="2:10" x14ac:dyDescent="0.25">
      <c r="C12" s="3">
        <v>18</v>
      </c>
      <c r="D12" s="3">
        <f t="shared" si="0"/>
        <v>0.68380000000000019</v>
      </c>
      <c r="E12" s="3">
        <f t="shared" si="1"/>
        <v>2.5072666666666676</v>
      </c>
      <c r="F12" s="2">
        <f>(0.334*0.5^((C12+5)/6.31))*'EF Adjustment Table'!I$18</f>
        <v>4.0915704213253044E-2</v>
      </c>
      <c r="G12" s="17">
        <f t="shared" si="2"/>
        <v>54.554272284337394</v>
      </c>
      <c r="H12" s="2">
        <f>IF(Calculator!$E$11='GWP reference values'!$C$6,G12*'GWP reference values'!$D$6/1000,IF(Calculator!$E$11='GWP reference values'!$C$7,G12*'GWP reference values'!$D$7/1000,IF(Calculator!$E$11='GWP reference values'!$C$8,G12*'GWP reference values'!$D$8/1000,"Error")))</f>
        <v>1.527519623961447</v>
      </c>
      <c r="I12" s="2">
        <f t="shared" ref="I12:I74" si="5">SUM(H12,E12)</f>
        <v>4.0347862906281149</v>
      </c>
      <c r="J12" s="3">
        <f t="shared" ref="J12:J74" si="6">C12</f>
        <v>18</v>
      </c>
    </row>
    <row r="13" spans="2:10" x14ac:dyDescent="0.25">
      <c r="C13" s="3">
        <v>19</v>
      </c>
      <c r="D13" s="3">
        <f t="shared" si="0"/>
        <v>0.81789999999999985</v>
      </c>
      <c r="E13" s="3">
        <f t="shared" si="1"/>
        <v>2.9989666666666661</v>
      </c>
      <c r="F13" s="2">
        <f>(0.334*0.5^((C13+5)/6.31))*'EF Adjustment Table'!I$18</f>
        <v>3.6659219683023422E-2</v>
      </c>
      <c r="G13" s="17">
        <f t="shared" si="2"/>
        <v>48.878959577364562</v>
      </c>
      <c r="H13" s="2">
        <f>IF(Calculator!$E$11='GWP reference values'!$C$6,G13*'GWP reference values'!$D$6/1000,IF(Calculator!$E$11='GWP reference values'!$C$7,G13*'GWP reference values'!$D$7/1000,IF(Calculator!$E$11='GWP reference values'!$C$8,G13*'GWP reference values'!$D$8/1000,"Error")))</f>
        <v>1.3686108681662077</v>
      </c>
      <c r="I13" s="2">
        <f t="shared" si="5"/>
        <v>4.3675775348328738</v>
      </c>
      <c r="J13" s="3">
        <f t="shared" si="6"/>
        <v>19</v>
      </c>
    </row>
    <row r="14" spans="2:10" x14ac:dyDescent="0.25">
      <c r="C14" s="3">
        <v>20</v>
      </c>
      <c r="D14" s="3">
        <f t="shared" si="0"/>
        <v>0.95199999999999996</v>
      </c>
      <c r="E14" s="3">
        <f t="shared" si="1"/>
        <v>3.4906666666666664</v>
      </c>
      <c r="F14" s="2">
        <f>(0.334*0.5^((C14+5)/6.31))*'EF Adjustment Table'!I$18</f>
        <v>3.2845539716578276E-2</v>
      </c>
      <c r="G14" s="18">
        <f t="shared" si="2"/>
        <v>43.794052955437699</v>
      </c>
      <c r="H14" s="2">
        <f>IF(Calculator!$E$11='GWP reference values'!$C$6,G14*'GWP reference values'!$D$6/1000,IF(Calculator!$E$11='GWP reference values'!$C$7,G14*'GWP reference values'!$D$7/1000,IF(Calculator!$E$11='GWP reference values'!$C$8,G14*'GWP reference values'!$D$8/1000,"Error")))</f>
        <v>1.2262334827522556</v>
      </c>
      <c r="I14" s="2">
        <f t="shared" si="5"/>
        <v>4.7169001494189224</v>
      </c>
      <c r="J14" s="3">
        <f t="shared" si="6"/>
        <v>20</v>
      </c>
    </row>
    <row r="15" spans="2:10" x14ac:dyDescent="0.25">
      <c r="C15" s="3">
        <v>21</v>
      </c>
      <c r="D15" s="3">
        <f t="shared" ref="D15:D32" si="7">0.1341*C15-1.73</f>
        <v>1.0861000000000001</v>
      </c>
      <c r="E15" s="3">
        <f t="shared" ref="E15:E32" si="8">D15/12*44</f>
        <v>3.9823666666666671</v>
      </c>
      <c r="F15" s="2">
        <f>(0.334*0.5^((C15+5)/6.31))*'EF Adjustment Table'!I$18</f>
        <v>2.9428599097348428E-2</v>
      </c>
      <c r="G15" s="8">
        <f t="shared" ref="G15:G32" si="9">F15*1000*16/12</f>
        <v>39.238132129797904</v>
      </c>
      <c r="H15" s="2">
        <f>IF(Calculator!$E$11='GWP reference values'!$C$6,G15*'GWP reference values'!$D$6/1000,IF(Calculator!$E$11='GWP reference values'!$C$7,G15*'GWP reference values'!$D$7/1000,IF(Calculator!$E$11='GWP reference values'!$C$8,G15*'GWP reference values'!$D$8/1000,"Error")))</f>
        <v>1.0986676996343412</v>
      </c>
      <c r="I15" s="2">
        <f t="shared" si="5"/>
        <v>5.081034366301008</v>
      </c>
      <c r="J15" s="3">
        <f t="shared" si="6"/>
        <v>21</v>
      </c>
    </row>
    <row r="16" spans="2:10" x14ac:dyDescent="0.25">
      <c r="C16" s="3">
        <v>22</v>
      </c>
      <c r="D16" s="3">
        <f t="shared" si="7"/>
        <v>1.2201999999999997</v>
      </c>
      <c r="E16" s="3">
        <f t="shared" si="8"/>
        <v>4.4740666666666655</v>
      </c>
      <c r="F16" s="2">
        <f>(0.334*0.5^((C16+5)/6.31))*'EF Adjustment Table'!I$18</f>
        <v>2.6367124800063344E-2</v>
      </c>
      <c r="G16" s="8">
        <f t="shared" si="9"/>
        <v>35.156166400084459</v>
      </c>
      <c r="H16" s="2">
        <f>IF(Calculator!$E$11='GWP reference values'!$C$6,G16*'GWP reference values'!$D$6/1000,IF(Calculator!$E$11='GWP reference values'!$C$7,G16*'GWP reference values'!$D$7/1000,IF(Calculator!$E$11='GWP reference values'!$C$8,G16*'GWP reference values'!$D$8/1000,"Error")))</f>
        <v>0.98437265920236483</v>
      </c>
      <c r="I16" s="2">
        <f t="shared" si="5"/>
        <v>5.4584393258690307</v>
      </c>
      <c r="J16" s="3">
        <f t="shared" si="6"/>
        <v>22</v>
      </c>
    </row>
    <row r="17" spans="3:10" x14ac:dyDescent="0.25">
      <c r="C17" s="3">
        <v>23</v>
      </c>
      <c r="D17" s="3">
        <f t="shared" si="7"/>
        <v>1.3542999999999998</v>
      </c>
      <c r="E17" s="3">
        <f t="shared" si="8"/>
        <v>4.9657666666666662</v>
      </c>
      <c r="F17" s="2">
        <f>(0.334*0.5^((C17+5)/6.31))*'EF Adjustment Table'!I$18</f>
        <v>2.3624137456300348E-2</v>
      </c>
      <c r="G17" s="8">
        <f t="shared" si="9"/>
        <v>31.498849941733798</v>
      </c>
      <c r="H17" s="2">
        <f>IF(Calculator!$E$11='GWP reference values'!$C$6,G17*'GWP reference values'!$D$6/1000,IF(Calculator!$E$11='GWP reference values'!$C$7,G17*'GWP reference values'!$D$7/1000,IF(Calculator!$E$11='GWP reference values'!$C$8,G17*'GWP reference values'!$D$8/1000,"Error")))</f>
        <v>0.88196779836854633</v>
      </c>
      <c r="I17" s="2">
        <f t="shared" si="5"/>
        <v>5.847734465035213</v>
      </c>
      <c r="J17" s="3">
        <f t="shared" si="6"/>
        <v>23</v>
      </c>
    </row>
    <row r="18" spans="3:10" x14ac:dyDescent="0.25">
      <c r="C18" s="3">
        <v>24</v>
      </c>
      <c r="D18" s="3">
        <f t="shared" si="7"/>
        <v>1.4883999999999999</v>
      </c>
      <c r="E18" s="3">
        <f t="shared" si="8"/>
        <v>5.4574666666666669</v>
      </c>
      <c r="F18" s="2">
        <f>(0.334*0.5^((C18+5)/6.31))*'EF Adjustment Table'!I$18</f>
        <v>2.116650468286297E-2</v>
      </c>
      <c r="G18" s="8">
        <f t="shared" si="9"/>
        <v>28.222006243817294</v>
      </c>
      <c r="H18" s="2">
        <f>IF(Calculator!$E$11='GWP reference values'!$C$6,G18*'GWP reference values'!$D$6/1000,IF(Calculator!$E$11='GWP reference values'!$C$7,G18*'GWP reference values'!$D$7/1000,IF(Calculator!$E$11='GWP reference values'!$C$8,G18*'GWP reference values'!$D$8/1000,"Error")))</f>
        <v>0.79021617482688422</v>
      </c>
      <c r="I18" s="2">
        <f t="shared" si="5"/>
        <v>6.2476828414935515</v>
      </c>
      <c r="J18" s="3">
        <f t="shared" si="6"/>
        <v>24</v>
      </c>
    </row>
    <row r="19" spans="3:10" x14ac:dyDescent="0.25">
      <c r="C19" s="3">
        <v>25</v>
      </c>
      <c r="D19" s="3">
        <f t="shared" si="7"/>
        <v>1.6225000000000001</v>
      </c>
      <c r="E19" s="3">
        <f t="shared" si="8"/>
        <v>5.9491666666666676</v>
      </c>
      <c r="F19" s="2">
        <f>(0.334*0.5^((C19+5)/6.31))*'EF Adjustment Table'!I$18</f>
        <v>1.8964540877668183E-2</v>
      </c>
      <c r="G19" s="8">
        <f t="shared" si="9"/>
        <v>25.28605450355758</v>
      </c>
      <c r="H19" s="2">
        <f>IF(Calculator!$E$11='GWP reference values'!$C$6,G19*'GWP reference values'!$D$6/1000,IF(Calculator!$E$11='GWP reference values'!$C$7,G19*'GWP reference values'!$D$7/1000,IF(Calculator!$E$11='GWP reference values'!$C$8,G19*'GWP reference values'!$D$8/1000,"Error")))</f>
        <v>0.70800952609961221</v>
      </c>
      <c r="I19" s="2">
        <f t="shared" si="5"/>
        <v>6.65717619276628</v>
      </c>
      <c r="J19" s="3">
        <f t="shared" si="6"/>
        <v>25</v>
      </c>
    </row>
    <row r="20" spans="3:10" x14ac:dyDescent="0.25">
      <c r="C20" s="3">
        <v>26</v>
      </c>
      <c r="D20" s="3">
        <f t="shared" si="7"/>
        <v>1.7566000000000002</v>
      </c>
      <c r="E20" s="3">
        <f t="shared" si="8"/>
        <v>6.4408666666666665</v>
      </c>
      <c r="F20" s="2">
        <f>(0.334*0.5^((C20+5)/6.31))*'EF Adjustment Table'!I$18</f>
        <v>1.6991648649100459E-2</v>
      </c>
      <c r="G20" s="8">
        <f t="shared" si="9"/>
        <v>22.655531532133946</v>
      </c>
      <c r="H20" s="2">
        <f>IF(Calculator!$E$11='GWP reference values'!$C$6,G20*'GWP reference values'!$D$6/1000,IF(Calculator!$E$11='GWP reference values'!$C$7,G20*'GWP reference values'!$D$7/1000,IF(Calculator!$E$11='GWP reference values'!$C$8,G20*'GWP reference values'!$D$8/1000,"Error")))</f>
        <v>0.63435488289975051</v>
      </c>
      <c r="I20" s="2">
        <f t="shared" si="5"/>
        <v>7.0752215495664172</v>
      </c>
      <c r="J20" s="3">
        <f t="shared" si="6"/>
        <v>26</v>
      </c>
    </row>
    <row r="21" spans="3:10" x14ac:dyDescent="0.25">
      <c r="C21" s="3">
        <v>27</v>
      </c>
      <c r="D21" s="3">
        <f t="shared" si="7"/>
        <v>1.8906999999999998</v>
      </c>
      <c r="E21" s="3">
        <f t="shared" si="8"/>
        <v>6.9325666666666663</v>
      </c>
      <c r="F21" s="2">
        <f>(0.334*0.5^((C21+5)/6.31))*'EF Adjustment Table'!I$18</f>
        <v>1.5223997547678957E-2</v>
      </c>
      <c r="G21" s="8">
        <f t="shared" si="9"/>
        <v>20.298663396905276</v>
      </c>
      <c r="H21" s="2">
        <f>IF(Calculator!$E$11='GWP reference values'!$C$6,G21*'GWP reference values'!$D$6/1000,IF(Calculator!$E$11='GWP reference values'!$C$7,G21*'GWP reference values'!$D$7/1000,IF(Calculator!$E$11='GWP reference values'!$C$8,G21*'GWP reference values'!$D$8/1000,"Error")))</f>
        <v>0.56836257511334776</v>
      </c>
      <c r="I21" s="2">
        <f t="shared" si="5"/>
        <v>7.500929241780014</v>
      </c>
      <c r="J21" s="3">
        <f t="shared" si="6"/>
        <v>27</v>
      </c>
    </row>
    <row r="22" spans="3:10" x14ac:dyDescent="0.25">
      <c r="C22" s="3">
        <v>28</v>
      </c>
      <c r="D22" s="3">
        <f t="shared" si="7"/>
        <v>2.0247999999999999</v>
      </c>
      <c r="E22" s="3">
        <f t="shared" si="8"/>
        <v>7.4242666666666661</v>
      </c>
      <c r="F22" s="2">
        <f>(0.334*0.5^((C22+5)/6.31))*'EF Adjustment Table'!I$18</f>
        <v>1.3640236219456248E-2</v>
      </c>
      <c r="G22" s="8">
        <f t="shared" si="9"/>
        <v>18.186981625941666</v>
      </c>
      <c r="H22" s="2">
        <f>IF(Calculator!$E$11='GWP reference values'!$C$6,G22*'GWP reference values'!$D$6/1000,IF(Calculator!$E$11='GWP reference values'!$C$7,G22*'GWP reference values'!$D$7/1000,IF(Calculator!$E$11='GWP reference values'!$C$8,G22*'GWP reference values'!$D$8/1000,"Error")))</f>
        <v>0.50923548552636666</v>
      </c>
      <c r="I22" s="2">
        <f t="shared" si="5"/>
        <v>7.9335021521930331</v>
      </c>
      <c r="J22" s="3">
        <f t="shared" si="6"/>
        <v>28</v>
      </c>
    </row>
    <row r="23" spans="3:10" x14ac:dyDescent="0.25">
      <c r="C23" s="3">
        <v>29</v>
      </c>
      <c r="D23" s="3">
        <f t="shared" si="7"/>
        <v>2.1589</v>
      </c>
      <c r="E23" s="3">
        <f t="shared" si="8"/>
        <v>7.9159666666666668</v>
      </c>
      <c r="F23" s="2">
        <f>(0.334*0.5^((C23+5)/6.31))*'EF Adjustment Table'!I$18</f>
        <v>1.2221234504266723E-2</v>
      </c>
      <c r="G23" s="8">
        <f t="shared" si="9"/>
        <v>16.294979339022298</v>
      </c>
      <c r="H23" s="2">
        <f>IF(Calculator!$E$11='GWP reference values'!$C$6,G23*'GWP reference values'!$D$6/1000,IF(Calculator!$E$11='GWP reference values'!$C$7,G23*'GWP reference values'!$D$7/1000,IF(Calculator!$E$11='GWP reference values'!$C$8,G23*'GWP reference values'!$D$8/1000,"Error")))</f>
        <v>0.45625942149262438</v>
      </c>
      <c r="I23" s="2">
        <f t="shared" si="5"/>
        <v>8.3722260881592909</v>
      </c>
      <c r="J23" s="3">
        <f t="shared" si="6"/>
        <v>29</v>
      </c>
    </row>
    <row r="24" spans="3:10" x14ac:dyDescent="0.25">
      <c r="C24" s="3">
        <v>30</v>
      </c>
      <c r="D24" s="3">
        <f t="shared" si="7"/>
        <v>2.2929999999999997</v>
      </c>
      <c r="E24" s="3">
        <f t="shared" si="8"/>
        <v>8.4076666666666657</v>
      </c>
      <c r="F24" s="2">
        <f>(0.334*0.5^((C24+5)/6.31))*'EF Adjustment Table'!I$18</f>
        <v>1.0949852363644293E-2</v>
      </c>
      <c r="G24" s="8">
        <f t="shared" si="9"/>
        <v>14.599803151525725</v>
      </c>
      <c r="H24" s="2">
        <f>IF(Calculator!$E$11='GWP reference values'!$C$6,G24*'GWP reference values'!$D$6/1000,IF(Calculator!$E$11='GWP reference values'!$C$7,G24*'GWP reference values'!$D$7/1000,IF(Calculator!$E$11='GWP reference values'!$C$8,G24*'GWP reference values'!$D$8/1000,"Error")))</f>
        <v>0.4087944882427203</v>
      </c>
      <c r="I24" s="2">
        <f t="shared" si="5"/>
        <v>8.8164611549093852</v>
      </c>
      <c r="J24" s="3">
        <f t="shared" si="6"/>
        <v>30</v>
      </c>
    </row>
    <row r="25" spans="3:10" x14ac:dyDescent="0.25">
      <c r="C25" s="3">
        <v>31</v>
      </c>
      <c r="D25" s="3">
        <f t="shared" si="7"/>
        <v>2.4270999999999998</v>
      </c>
      <c r="E25" s="3">
        <f t="shared" si="8"/>
        <v>8.8993666666666655</v>
      </c>
      <c r="F25" s="2">
        <f>(0.334*0.5^((C25+5)/6.31))*'EF Adjustment Table'!I$18</f>
        <v>9.8107328473033429E-3</v>
      </c>
      <c r="G25" s="8">
        <f t="shared" si="9"/>
        <v>13.080977129737791</v>
      </c>
      <c r="H25" s="2">
        <f>IF(Calculator!$E$11='GWP reference values'!$C$6,G25*'GWP reference values'!$D$6/1000,IF(Calculator!$E$11='GWP reference values'!$C$7,G25*'GWP reference values'!$D$7/1000,IF(Calculator!$E$11='GWP reference values'!$C$8,G25*'GWP reference values'!$D$8/1000,"Error")))</f>
        <v>0.36626735963265816</v>
      </c>
      <c r="I25" s="2">
        <f t="shared" si="5"/>
        <v>9.265634026299324</v>
      </c>
      <c r="J25" s="3">
        <f t="shared" si="6"/>
        <v>31</v>
      </c>
    </row>
    <row r="26" spans="3:10" x14ac:dyDescent="0.25">
      <c r="C26" s="3">
        <v>32</v>
      </c>
      <c r="D26" s="3">
        <f t="shared" si="7"/>
        <v>2.5611999999999999</v>
      </c>
      <c r="E26" s="3">
        <f t="shared" si="8"/>
        <v>9.3910666666666671</v>
      </c>
      <c r="F26" s="2">
        <f>(0.334*0.5^((C26+5)/6.31))*'EF Adjustment Table'!I$18</f>
        <v>8.7901165974372097E-3</v>
      </c>
      <c r="G26" s="8">
        <f t="shared" si="9"/>
        <v>11.720155463249613</v>
      </c>
      <c r="H26" s="2">
        <f>IF(Calculator!$E$11='GWP reference values'!$C$6,G26*'GWP reference values'!$D$6/1000,IF(Calculator!$E$11='GWP reference values'!$C$7,G26*'GWP reference values'!$D$7/1000,IF(Calculator!$E$11='GWP reference values'!$C$8,G26*'GWP reference values'!$D$8/1000,"Error")))</f>
        <v>0.32816435297098917</v>
      </c>
      <c r="I26" s="2">
        <f t="shared" si="5"/>
        <v>9.7192310196376557</v>
      </c>
      <c r="J26" s="3">
        <f t="shared" si="6"/>
        <v>32</v>
      </c>
    </row>
    <row r="27" spans="3:10" x14ac:dyDescent="0.25">
      <c r="C27" s="3">
        <v>33</v>
      </c>
      <c r="D27" s="3">
        <f t="shared" si="7"/>
        <v>2.6953</v>
      </c>
      <c r="E27" s="3">
        <f t="shared" si="8"/>
        <v>9.8827666666666669</v>
      </c>
      <c r="F27" s="2">
        <f>(0.334*0.5^((C27+5)/6.31))*'EF Adjustment Table'!I$18</f>
        <v>7.8756756502424922E-3</v>
      </c>
      <c r="G27" s="8">
        <f t="shared" si="9"/>
        <v>10.500900866989989</v>
      </c>
      <c r="H27" s="2">
        <f>IF(Calculator!$E$11='GWP reference values'!$C$6,G27*'GWP reference values'!$D$6/1000,IF(Calculator!$E$11='GWP reference values'!$C$7,G27*'GWP reference values'!$D$7/1000,IF(Calculator!$E$11='GWP reference values'!$C$8,G27*'GWP reference values'!$D$8/1000,"Error")))</f>
        <v>0.29402522427571964</v>
      </c>
      <c r="I27" s="2">
        <f t="shared" si="5"/>
        <v>10.176791890942386</v>
      </c>
      <c r="J27" s="3">
        <f t="shared" si="6"/>
        <v>33</v>
      </c>
    </row>
    <row r="28" spans="3:10" x14ac:dyDescent="0.25">
      <c r="C28" s="3">
        <v>34</v>
      </c>
      <c r="D28" s="3">
        <f t="shared" si="7"/>
        <v>2.8294000000000001</v>
      </c>
      <c r="E28" s="3">
        <f t="shared" si="8"/>
        <v>10.374466666666667</v>
      </c>
      <c r="F28" s="2">
        <f>(0.334*0.5^((C28+5)/6.31))*'EF Adjustment Table'!I$18</f>
        <v>7.0563645271675274E-3</v>
      </c>
      <c r="G28" s="8">
        <f t="shared" si="9"/>
        <v>9.4084860362233709</v>
      </c>
      <c r="H28" s="2">
        <f>IF(Calculator!$E$11='GWP reference values'!$C$6,G28*'GWP reference values'!$D$6/1000,IF(Calculator!$E$11='GWP reference values'!$C$7,G28*'GWP reference values'!$D$7/1000,IF(Calculator!$E$11='GWP reference values'!$C$8,G28*'GWP reference values'!$D$8/1000,"Error")))</f>
        <v>0.26343760901425439</v>
      </c>
      <c r="I28" s="2">
        <f t="shared" si="5"/>
        <v>10.637904275680921</v>
      </c>
      <c r="J28" s="3">
        <f t="shared" si="6"/>
        <v>34</v>
      </c>
    </row>
    <row r="29" spans="3:10" x14ac:dyDescent="0.25">
      <c r="C29" s="3">
        <v>35</v>
      </c>
      <c r="D29" s="3">
        <f t="shared" si="7"/>
        <v>2.9635000000000002</v>
      </c>
      <c r="E29" s="3">
        <f t="shared" si="8"/>
        <v>10.866166666666668</v>
      </c>
      <c r="F29" s="2">
        <f>(0.334*0.5^((C29+5)/6.31))*'EF Adjustment Table'!I$18</f>
        <v>6.3222868172250271E-3</v>
      </c>
      <c r="G29" s="8">
        <f t="shared" si="9"/>
        <v>8.4297157563000358</v>
      </c>
      <c r="H29" s="2">
        <f>IF(Calculator!$E$11='GWP reference values'!$C$6,G29*'GWP reference values'!$D$6/1000,IF(Calculator!$E$11='GWP reference values'!$C$7,G29*'GWP reference values'!$D$7/1000,IF(Calculator!$E$11='GWP reference values'!$C$8,G29*'GWP reference values'!$D$8/1000,"Error")))</f>
        <v>0.236032041176401</v>
      </c>
      <c r="I29" s="2">
        <f t="shared" si="5"/>
        <v>11.102198707843069</v>
      </c>
      <c r="J29" s="3">
        <f t="shared" si="6"/>
        <v>35</v>
      </c>
    </row>
    <row r="30" spans="3:10" x14ac:dyDescent="0.25">
      <c r="C30" s="3">
        <v>36</v>
      </c>
      <c r="D30" s="3">
        <f t="shared" si="7"/>
        <v>3.0976000000000004</v>
      </c>
      <c r="E30" s="3">
        <f t="shared" si="8"/>
        <v>11.357866666666668</v>
      </c>
      <c r="F30" s="2">
        <f>(0.334*0.5^((C30+5)/6.31))*'EF Adjustment Table'!I$18</f>
        <v>5.6645756388243275E-3</v>
      </c>
      <c r="G30" s="8">
        <f t="shared" si="9"/>
        <v>7.5527675184324368</v>
      </c>
      <c r="H30" s="2">
        <f>IF(Calculator!$E$11='GWP reference values'!$C$6,G30*'GWP reference values'!$D$6/1000,IF(Calculator!$E$11='GWP reference values'!$C$7,G30*'GWP reference values'!$D$7/1000,IF(Calculator!$E$11='GWP reference values'!$C$8,G30*'GWP reference values'!$D$8/1000,"Error")))</f>
        <v>0.21147749051610823</v>
      </c>
      <c r="I30" s="2">
        <f t="shared" si="5"/>
        <v>11.569344157182776</v>
      </c>
      <c r="J30" s="3">
        <f t="shared" si="6"/>
        <v>36</v>
      </c>
    </row>
    <row r="31" spans="3:10" x14ac:dyDescent="0.25">
      <c r="C31" s="3">
        <v>37</v>
      </c>
      <c r="D31" s="3">
        <f t="shared" si="7"/>
        <v>3.2316999999999996</v>
      </c>
      <c r="E31" s="3">
        <f t="shared" si="8"/>
        <v>11.849566666666666</v>
      </c>
      <c r="F31" s="2">
        <f>(0.334*0.5^((C31+5)/6.31))*'EF Adjustment Table'!I$18</f>
        <v>5.075286537228922E-3</v>
      </c>
      <c r="G31" s="8">
        <f t="shared" si="9"/>
        <v>6.7670487163052293</v>
      </c>
      <c r="H31" s="2">
        <f>IF(Calculator!$E$11='GWP reference values'!$C$6,G31*'GWP reference values'!$D$6/1000,IF(Calculator!$E$11='GWP reference values'!$C$7,G31*'GWP reference values'!$D$7/1000,IF(Calculator!$E$11='GWP reference values'!$C$8,G31*'GWP reference values'!$D$8/1000,"Error")))</f>
        <v>0.18947736405654644</v>
      </c>
      <c r="I31" s="2">
        <f t="shared" si="5"/>
        <v>12.039044030723213</v>
      </c>
      <c r="J31" s="3">
        <f t="shared" si="6"/>
        <v>37</v>
      </c>
    </row>
    <row r="32" spans="3:10" x14ac:dyDescent="0.25">
      <c r="C32" s="3">
        <v>38</v>
      </c>
      <c r="D32" s="3">
        <f t="shared" si="7"/>
        <v>3.3657999999999997</v>
      </c>
      <c r="E32" s="3">
        <f t="shared" si="8"/>
        <v>12.341266666666666</v>
      </c>
      <c r="F32" s="2">
        <f>(0.334*0.5^((C32+5)/6.31))*'EF Adjustment Table'!I$18</f>
        <v>4.5473015239537399E-3</v>
      </c>
      <c r="G32" s="8">
        <f t="shared" si="9"/>
        <v>6.0630686986049867</v>
      </c>
      <c r="H32" s="2">
        <f>IF(Calculator!$E$11='GWP reference values'!$C$6,G32*'GWP reference values'!$D$6/1000,IF(Calculator!$E$11='GWP reference values'!$C$7,G32*'GWP reference values'!$D$7/1000,IF(Calculator!$E$11='GWP reference values'!$C$8,G32*'GWP reference values'!$D$8/1000,"Error")))</f>
        <v>0.16976592356093961</v>
      </c>
      <c r="I32" s="2">
        <f t="shared" si="5"/>
        <v>12.511032590227606</v>
      </c>
      <c r="J32" s="3">
        <f t="shared" si="6"/>
        <v>38</v>
      </c>
    </row>
    <row r="33" spans="3:10" x14ac:dyDescent="0.25">
      <c r="C33" s="3">
        <v>39</v>
      </c>
      <c r="D33" s="3">
        <f t="shared" si="0"/>
        <v>3.4998999999999998</v>
      </c>
      <c r="E33" s="3">
        <f t="shared" si="1"/>
        <v>12.832966666666666</v>
      </c>
      <c r="F33" s="2">
        <f>(0.334*0.5^((C33+5)/6.31))*'EF Adjustment Table'!I$18</f>
        <v>4.0742430989999029E-3</v>
      </c>
      <c r="G33" s="8">
        <f t="shared" si="2"/>
        <v>5.4323241319998701</v>
      </c>
      <c r="H33" s="2">
        <f>IF(Calculator!$E$11='GWP reference values'!$C$6,G33*'GWP reference values'!$D$6/1000,IF(Calculator!$E$11='GWP reference values'!$C$7,G33*'GWP reference values'!$D$7/1000,IF(Calculator!$E$11='GWP reference values'!$C$8,G33*'GWP reference values'!$D$8/1000,"Error")))</f>
        <v>0.15210507569599635</v>
      </c>
      <c r="I33" s="2">
        <f t="shared" si="5"/>
        <v>12.985071742362662</v>
      </c>
      <c r="J33" s="3">
        <f t="shared" si="6"/>
        <v>39</v>
      </c>
    </row>
    <row r="34" spans="3:10" x14ac:dyDescent="0.25">
      <c r="C34" s="3">
        <v>40</v>
      </c>
      <c r="D34" s="3">
        <f t="shared" si="0"/>
        <v>3.6339999999999999</v>
      </c>
      <c r="E34" s="3">
        <f t="shared" si="1"/>
        <v>13.324666666666667</v>
      </c>
      <c r="F34" s="2">
        <f>(0.334*0.5^((C34+5)/6.31))*'EF Adjustment Table'!I$18</f>
        <v>3.6503972174063335E-3</v>
      </c>
      <c r="G34" s="8">
        <f t="shared" si="2"/>
        <v>4.8671962898751113</v>
      </c>
      <c r="H34" s="2">
        <f>IF(Calculator!$E$11='GWP reference values'!$C$6,G34*'GWP reference values'!$D$6/1000,IF(Calculator!$E$11='GWP reference values'!$C$7,G34*'GWP reference values'!$D$7/1000,IF(Calculator!$E$11='GWP reference values'!$C$8,G34*'GWP reference values'!$D$8/1000,"Error")))</f>
        <v>0.13628149611650311</v>
      </c>
      <c r="I34" s="2">
        <f t="shared" si="5"/>
        <v>13.46094816278317</v>
      </c>
      <c r="J34" s="3">
        <f t="shared" si="6"/>
        <v>40</v>
      </c>
    </row>
    <row r="35" spans="3:10" x14ac:dyDescent="0.25">
      <c r="C35" s="3">
        <v>41</v>
      </c>
      <c r="D35" s="3">
        <f t="shared" si="0"/>
        <v>3.7681</v>
      </c>
      <c r="E35" s="3">
        <f t="shared" si="1"/>
        <v>13.816366666666667</v>
      </c>
      <c r="F35" s="2">
        <f>(0.334*0.5^((C35+5)/6.31))*'EF Adjustment Table'!I$18</f>
        <v>3.2706442696359664E-3</v>
      </c>
      <c r="G35" s="8">
        <f t="shared" si="2"/>
        <v>4.3608590261812887</v>
      </c>
      <c r="H35" s="2">
        <f>IF(Calculator!$E$11='GWP reference values'!$C$6,G35*'GWP reference values'!$D$6/1000,IF(Calculator!$E$11='GWP reference values'!$C$7,G35*'GWP reference values'!$D$7/1000,IF(Calculator!$E$11='GWP reference values'!$C$8,G35*'GWP reference values'!$D$8/1000,"Error")))</f>
        <v>0.12210405273307609</v>
      </c>
      <c r="I35" s="2">
        <f t="shared" si="5"/>
        <v>13.938470719399744</v>
      </c>
      <c r="J35" s="3">
        <f t="shared" si="6"/>
        <v>41</v>
      </c>
    </row>
    <row r="36" spans="3:10" x14ac:dyDescent="0.25">
      <c r="C36" s="3">
        <v>42</v>
      </c>
      <c r="D36" s="3">
        <f t="shared" si="0"/>
        <v>3.9022000000000001</v>
      </c>
      <c r="E36" s="3">
        <f t="shared" si="1"/>
        <v>14.308066666666667</v>
      </c>
      <c r="F36" s="2">
        <f>(0.334*0.5^((C36+5)/6.31))*'EF Adjustment Table'!I$18</f>
        <v>2.9303972421124763E-3</v>
      </c>
      <c r="G36" s="8">
        <f t="shared" si="2"/>
        <v>3.9071963228166351</v>
      </c>
      <c r="H36" s="2">
        <f>IF(Calculator!$E$11='GWP reference values'!$C$6,G36*'GWP reference values'!$D$6/1000,IF(Calculator!$E$11='GWP reference values'!$C$7,G36*'GWP reference values'!$D$7/1000,IF(Calculator!$E$11='GWP reference values'!$C$8,G36*'GWP reference values'!$D$8/1000,"Error")))</f>
        <v>0.10940149703886579</v>
      </c>
      <c r="I36" s="2">
        <f t="shared" si="5"/>
        <v>14.417468163705532</v>
      </c>
      <c r="J36" s="3">
        <f t="shared" si="6"/>
        <v>42</v>
      </c>
    </row>
    <row r="37" spans="3:10" x14ac:dyDescent="0.25">
      <c r="C37" s="3">
        <v>43</v>
      </c>
      <c r="D37" s="3">
        <f t="shared" si="0"/>
        <v>4.0363000000000007</v>
      </c>
      <c r="E37" s="3">
        <f t="shared" si="1"/>
        <v>14.799766666666669</v>
      </c>
      <c r="F37" s="2">
        <f>(0.334*0.5^((C37+5)/6.31))*'EF Adjustment Table'!I$18</f>
        <v>2.625546310952429E-3</v>
      </c>
      <c r="G37" s="8">
        <f t="shared" si="2"/>
        <v>3.5007284146032389</v>
      </c>
      <c r="H37" s="2">
        <f>IF(Calculator!$E$11='GWP reference values'!$C$6,G37*'GWP reference values'!$D$6/1000,IF(Calculator!$E$11='GWP reference values'!$C$7,G37*'GWP reference values'!$D$7/1000,IF(Calculator!$E$11='GWP reference values'!$C$8,G37*'GWP reference values'!$D$8/1000,"Error")))</f>
        <v>9.8020395608890698E-2</v>
      </c>
      <c r="I37" s="2">
        <f t="shared" si="5"/>
        <v>14.89778706227556</v>
      </c>
      <c r="J37" s="3">
        <f t="shared" si="6"/>
        <v>43</v>
      </c>
    </row>
    <row r="38" spans="3:10" x14ac:dyDescent="0.25">
      <c r="C38" s="3">
        <v>44</v>
      </c>
      <c r="D38" s="3">
        <f t="shared" si="0"/>
        <v>4.170399999999999</v>
      </c>
      <c r="E38" s="3">
        <f t="shared" si="1"/>
        <v>15.291466666666663</v>
      </c>
      <c r="F38" s="2">
        <f>(0.334*0.5^((C38+5)/6.31))*'EF Adjustment Table'!I$18</f>
        <v>2.3524091996436959E-3</v>
      </c>
      <c r="G38" s="8">
        <f t="shared" si="2"/>
        <v>3.1365455995249278</v>
      </c>
      <c r="H38" s="2">
        <f>IF(Calculator!$E$11='GWP reference values'!$C$6,G38*'GWP reference values'!$D$6/1000,IF(Calculator!$E$11='GWP reference values'!$C$7,G38*'GWP reference values'!$D$7/1000,IF(Calculator!$E$11='GWP reference values'!$C$8,G38*'GWP reference values'!$D$8/1000,"Error")))</f>
        <v>8.7823276786697976E-2</v>
      </c>
      <c r="I38" s="2">
        <f t="shared" si="5"/>
        <v>15.379289943453362</v>
      </c>
      <c r="J38" s="3">
        <f t="shared" si="6"/>
        <v>44</v>
      </c>
    </row>
    <row r="39" spans="3:10" x14ac:dyDescent="0.25">
      <c r="C39" s="3">
        <v>45</v>
      </c>
      <c r="D39" s="3">
        <f t="shared" si="0"/>
        <v>4.3044999999999991</v>
      </c>
      <c r="E39" s="3">
        <f t="shared" si="1"/>
        <v>15.783166666666663</v>
      </c>
      <c r="F39" s="2">
        <f>(0.334*0.5^((C39+5)/6.31))*'EF Adjustment Table'!I$18</f>
        <v>2.1076867010435154E-3</v>
      </c>
      <c r="G39" s="8">
        <f t="shared" si="2"/>
        <v>2.8102489347246871</v>
      </c>
      <c r="H39" s="2">
        <f>IF(Calculator!$E$11='GWP reference values'!$C$6,G39*'GWP reference values'!$D$6/1000,IF(Calculator!$E$11='GWP reference values'!$C$7,G39*'GWP reference values'!$D$7/1000,IF(Calculator!$E$11='GWP reference values'!$C$8,G39*'GWP reference values'!$D$8/1000,"Error")))</f>
        <v>7.8686970172291246E-2</v>
      </c>
      <c r="I39" s="2">
        <f t="shared" si="5"/>
        <v>15.861853636838955</v>
      </c>
      <c r="J39" s="3">
        <f t="shared" si="6"/>
        <v>45</v>
      </c>
    </row>
    <row r="40" spans="3:10" x14ac:dyDescent="0.25">
      <c r="C40" s="3">
        <v>46</v>
      </c>
      <c r="D40" s="3">
        <f t="shared" si="0"/>
        <v>4.4385999999999992</v>
      </c>
      <c r="E40" s="3">
        <f t="shared" si="1"/>
        <v>16.274866666666664</v>
      </c>
      <c r="F40" s="2">
        <f>(0.334*0.5^((C40+5)/6.31))*'EF Adjustment Table'!I$18</f>
        <v>1.8884228264489644E-3</v>
      </c>
      <c r="G40" s="8">
        <f t="shared" si="2"/>
        <v>2.5178971019319527</v>
      </c>
      <c r="H40" s="2">
        <f>IF(Calculator!$E$11='GWP reference values'!$C$6,G40*'GWP reference values'!$D$6/1000,IF(Calculator!$E$11='GWP reference values'!$C$7,G40*'GWP reference values'!$D$7/1000,IF(Calculator!$E$11='GWP reference values'!$C$8,G40*'GWP reference values'!$D$8/1000,"Error")))</f>
        <v>7.0501118854094671E-2</v>
      </c>
      <c r="I40" s="2">
        <f t="shared" si="5"/>
        <v>16.345367785520757</v>
      </c>
      <c r="J40" s="3">
        <f t="shared" si="6"/>
        <v>46</v>
      </c>
    </row>
    <row r="41" spans="3:10" x14ac:dyDescent="0.25">
      <c r="C41" s="3">
        <v>47</v>
      </c>
      <c r="D41" s="3">
        <f t="shared" si="0"/>
        <v>4.5726999999999993</v>
      </c>
      <c r="E41" s="3">
        <f t="shared" si="1"/>
        <v>16.766566666666662</v>
      </c>
      <c r="F41" s="2">
        <f>(0.334*0.5^((C41+5)/6.31))*'EF Adjustment Table'!I$18</f>
        <v>1.691969100382852E-3</v>
      </c>
      <c r="G41" s="8">
        <f t="shared" si="2"/>
        <v>2.2559588005104692</v>
      </c>
      <c r="H41" s="2">
        <f>IF(Calculator!$E$11='GWP reference values'!$C$6,G41*'GWP reference values'!$D$6/1000,IF(Calculator!$E$11='GWP reference values'!$C$7,G41*'GWP reference values'!$D$7/1000,IF(Calculator!$E$11='GWP reference values'!$C$8,G41*'GWP reference values'!$D$8/1000,"Error")))</f>
        <v>6.3166846414293126E-2</v>
      </c>
      <c r="I41" s="2">
        <f t="shared" si="5"/>
        <v>16.829733513080956</v>
      </c>
      <c r="J41" s="3">
        <f t="shared" si="6"/>
        <v>47</v>
      </c>
    </row>
    <row r="42" spans="3:10" x14ac:dyDescent="0.25">
      <c r="C42" s="3">
        <v>48</v>
      </c>
      <c r="D42" s="3">
        <f t="shared" si="0"/>
        <v>4.7067999999999994</v>
      </c>
      <c r="E42" s="3">
        <f t="shared" si="1"/>
        <v>17.258266666666664</v>
      </c>
      <c r="F42" s="2">
        <f>(0.334*0.5^((C42+5)/6.31))*'EF Adjustment Table'!I$18</f>
        <v>1.5159525698138045E-3</v>
      </c>
      <c r="G42" s="8">
        <f t="shared" si="2"/>
        <v>2.0212700930850729</v>
      </c>
      <c r="H42" s="2">
        <f>IF(Calculator!$E$11='GWP reference values'!$C$6,G42*'GWP reference values'!$D$6/1000,IF(Calculator!$E$11='GWP reference values'!$C$7,G42*'GWP reference values'!$D$7/1000,IF(Calculator!$E$11='GWP reference values'!$C$8,G42*'GWP reference values'!$D$8/1000,"Error")))</f>
        <v>5.6595562606382037E-2</v>
      </c>
      <c r="I42" s="2">
        <f t="shared" si="5"/>
        <v>17.314862229273047</v>
      </c>
      <c r="J42" s="3">
        <f t="shared" si="6"/>
        <v>48</v>
      </c>
    </row>
    <row r="43" spans="3:10" x14ac:dyDescent="0.25">
      <c r="C43" s="3">
        <v>49</v>
      </c>
      <c r="D43" s="3">
        <f t="shared" si="0"/>
        <v>4.8408999999999995</v>
      </c>
      <c r="E43" s="3">
        <f t="shared" si="1"/>
        <v>17.749966666666666</v>
      </c>
      <c r="F43" s="2">
        <f>(0.334*0.5^((C43+5)/6.31))*'EF Adjustment Table'!I$18</f>
        <v>1.3582471413958281E-3</v>
      </c>
      <c r="G43" s="8">
        <f t="shared" si="2"/>
        <v>1.8109961885277708</v>
      </c>
      <c r="H43" s="2">
        <f>IF(Calculator!$E$11='GWP reference values'!$C$6,G43*'GWP reference values'!$D$6/1000,IF(Calculator!$E$11='GWP reference values'!$C$7,G43*'GWP reference values'!$D$7/1000,IF(Calculator!$E$11='GWP reference values'!$C$8,G43*'GWP reference values'!$D$8/1000,"Error")))</f>
        <v>5.0707893278777581E-2</v>
      </c>
      <c r="I43" s="2">
        <f t="shared" si="5"/>
        <v>17.800674559945442</v>
      </c>
      <c r="J43" s="3">
        <f t="shared" si="6"/>
        <v>49</v>
      </c>
    </row>
    <row r="44" spans="3:10" x14ac:dyDescent="0.25">
      <c r="C44" s="3">
        <v>50</v>
      </c>
      <c r="D44" s="3">
        <f t="shared" si="0"/>
        <v>4.9749999999999996</v>
      </c>
      <c r="E44" s="3">
        <f t="shared" si="1"/>
        <v>18.241666666666667</v>
      </c>
      <c r="F44" s="2">
        <f>(0.334*0.5^((C44+5)/6.31))*'EF Adjustment Table'!I$18</f>
        <v>1.2169479005115095E-3</v>
      </c>
      <c r="G44" s="8">
        <f t="shared" si="2"/>
        <v>1.6225972006820124</v>
      </c>
      <c r="H44" s="2">
        <f>IF(Calculator!$E$11='GWP reference values'!$C$6,G44*'GWP reference values'!$D$6/1000,IF(Calculator!$E$11='GWP reference values'!$C$7,G44*'GWP reference values'!$D$7/1000,IF(Calculator!$E$11='GWP reference values'!$C$8,G44*'GWP reference values'!$D$8/1000,"Error")))</f>
        <v>4.5432721619096346E-2</v>
      </c>
      <c r="I44" s="2">
        <f t="shared" si="5"/>
        <v>18.287099388285764</v>
      </c>
      <c r="J44" s="3">
        <f t="shared" si="6"/>
        <v>50</v>
      </c>
    </row>
    <row r="45" spans="3:10" x14ac:dyDescent="0.25">
      <c r="C45" s="3">
        <v>51</v>
      </c>
      <c r="D45" s="3">
        <f t="shared" si="0"/>
        <v>5.1090999999999998</v>
      </c>
      <c r="E45" s="3">
        <f t="shared" si="1"/>
        <v>18.733366666666665</v>
      </c>
      <c r="F45" s="2">
        <f>(0.334*0.5^((C45+5)/6.31))*'EF Adjustment Table'!I$18</f>
        <v>1.0903481019201215E-3</v>
      </c>
      <c r="G45" s="8">
        <f t="shared" si="2"/>
        <v>1.4537974692268287</v>
      </c>
      <c r="H45" s="2">
        <f>IF(Calculator!$E$11='GWP reference values'!$C$6,G45*'GWP reference values'!$D$6/1000,IF(Calculator!$E$11='GWP reference values'!$C$7,G45*'GWP reference values'!$D$7/1000,IF(Calculator!$E$11='GWP reference values'!$C$8,G45*'GWP reference values'!$D$8/1000,"Error")))</f>
        <v>4.0706329138351205E-2</v>
      </c>
      <c r="I45" s="2">
        <f t="shared" si="5"/>
        <v>18.774072995805017</v>
      </c>
      <c r="J45" s="3">
        <f t="shared" si="6"/>
        <v>51</v>
      </c>
    </row>
    <row r="46" spans="3:10" x14ac:dyDescent="0.25">
      <c r="C46" s="3">
        <v>52</v>
      </c>
      <c r="D46" s="3">
        <f t="shared" si="0"/>
        <v>5.2431999999999999</v>
      </c>
      <c r="E46" s="3">
        <f t="shared" si="1"/>
        <v>19.225066666666667</v>
      </c>
      <c r="F46" s="2">
        <f>(0.334*0.5^((C46+5)/6.31))*'EF Adjustment Table'!I$18</f>
        <v>9.7691855408198452E-4</v>
      </c>
      <c r="G46" s="8">
        <f t="shared" si="2"/>
        <v>1.3025580721093126</v>
      </c>
      <c r="H46" s="2">
        <f>IF(Calculator!$E$11='GWP reference values'!$C$6,G46*'GWP reference values'!$D$6/1000,IF(Calculator!$E$11='GWP reference values'!$C$7,G46*'GWP reference values'!$D$7/1000,IF(Calculator!$E$11='GWP reference values'!$C$8,G46*'GWP reference values'!$D$8/1000,"Error")))</f>
        <v>3.6471626019060753E-2</v>
      </c>
      <c r="I46" s="2">
        <f t="shared" si="5"/>
        <v>19.261538292685728</v>
      </c>
      <c r="J46" s="3">
        <f t="shared" si="6"/>
        <v>52</v>
      </c>
    </row>
    <row r="47" spans="3:10" x14ac:dyDescent="0.25">
      <c r="C47" s="3">
        <v>53</v>
      </c>
      <c r="D47" s="3">
        <f t="shared" si="0"/>
        <v>5.3773</v>
      </c>
      <c r="E47" s="3">
        <f t="shared" si="1"/>
        <v>19.716766666666665</v>
      </c>
      <c r="F47" s="2">
        <f>(0.334*0.5^((C47+5)/6.31))*'EF Adjustment Table'!I$18</f>
        <v>8.7528914814358346E-4</v>
      </c>
      <c r="G47" s="8">
        <f t="shared" si="2"/>
        <v>1.1670521975247781</v>
      </c>
      <c r="H47" s="2">
        <f>IF(Calculator!$E$11='GWP reference values'!$C$6,G47*'GWP reference values'!$D$6/1000,IF(Calculator!$E$11='GWP reference values'!$C$7,G47*'GWP reference values'!$D$7/1000,IF(Calculator!$E$11='GWP reference values'!$C$8,G47*'GWP reference values'!$D$8/1000,"Error")))</f>
        <v>3.2677461530693785E-2</v>
      </c>
      <c r="I47" s="2">
        <f t="shared" si="5"/>
        <v>19.749444128197357</v>
      </c>
      <c r="J47" s="3">
        <f t="shared" si="6"/>
        <v>53</v>
      </c>
    </row>
    <row r="48" spans="3:10" x14ac:dyDescent="0.25">
      <c r="C48" s="3">
        <v>54</v>
      </c>
      <c r="D48" s="3">
        <f t="shared" si="0"/>
        <v>5.5114000000000001</v>
      </c>
      <c r="E48" s="3">
        <f t="shared" si="1"/>
        <v>20.208466666666666</v>
      </c>
      <c r="F48" s="2">
        <f>(0.334*0.5^((C48+5)/6.31))*'EF Adjustment Table'!I$18</f>
        <v>7.8423230847310171E-4</v>
      </c>
      <c r="G48" s="8">
        <f t="shared" si="2"/>
        <v>1.0456430779641355</v>
      </c>
      <c r="H48" s="2">
        <f>IF(Calculator!$E$11='GWP reference values'!$C$6,G48*'GWP reference values'!$D$6/1000,IF(Calculator!$E$11='GWP reference values'!$C$7,G48*'GWP reference values'!$D$7/1000,IF(Calculator!$E$11='GWP reference values'!$C$8,G48*'GWP reference values'!$D$8/1000,"Error")))</f>
        <v>2.9278006182995791E-2</v>
      </c>
      <c r="I48" s="2">
        <f t="shared" si="5"/>
        <v>20.237744672849661</v>
      </c>
      <c r="J48" s="3">
        <f t="shared" si="6"/>
        <v>54</v>
      </c>
    </row>
    <row r="49" spans="3:10" x14ac:dyDescent="0.25">
      <c r="C49" s="3">
        <v>55</v>
      </c>
      <c r="D49" s="3">
        <f t="shared" si="0"/>
        <v>5.6455000000000002</v>
      </c>
      <c r="E49" s="3">
        <f t="shared" si="1"/>
        <v>20.700166666666668</v>
      </c>
      <c r="F49" s="2">
        <f>(0.334*0.5^((C49+5)/6.31))*'EF Adjustment Table'!I$18</f>
        <v>7.0264816484639191E-4</v>
      </c>
      <c r="G49" s="8">
        <f t="shared" si="2"/>
        <v>0.93686421979518919</v>
      </c>
      <c r="H49" s="2">
        <f>IF(Calculator!$E$11='GWP reference values'!$C$6,G49*'GWP reference values'!$D$6/1000,IF(Calculator!$E$11='GWP reference values'!$C$7,G49*'GWP reference values'!$D$7/1000,IF(Calculator!$E$11='GWP reference values'!$C$8,G49*'GWP reference values'!$D$8/1000,"Error")))</f>
        <v>2.6232198154265297E-2</v>
      </c>
      <c r="I49" s="2">
        <f t="shared" si="5"/>
        <v>20.726398864820933</v>
      </c>
      <c r="J49" s="3">
        <f t="shared" si="6"/>
        <v>55</v>
      </c>
    </row>
    <row r="50" spans="3:10" x14ac:dyDescent="0.25">
      <c r="C50" s="3">
        <v>56</v>
      </c>
      <c r="D50" s="3">
        <f t="shared" si="0"/>
        <v>5.7796000000000003</v>
      </c>
      <c r="E50" s="3">
        <f t="shared" si="1"/>
        <v>21.19186666666667</v>
      </c>
      <c r="F50" s="2">
        <f>(0.334*0.5^((C50+5)/6.31))*'EF Adjustment Table'!I$18</f>
        <v>6.2955126717906165E-4</v>
      </c>
      <c r="G50" s="8">
        <f t="shared" si="2"/>
        <v>0.83940168957208217</v>
      </c>
      <c r="H50" s="2">
        <f>IF(Calculator!$E$11='GWP reference values'!$C$6,G50*'GWP reference values'!$D$6/1000,IF(Calculator!$E$11='GWP reference values'!$C$7,G50*'GWP reference values'!$D$7/1000,IF(Calculator!$E$11='GWP reference values'!$C$8,G50*'GWP reference values'!$D$8/1000,"Error")))</f>
        <v>2.3503247308018303E-2</v>
      </c>
      <c r="I50" s="2">
        <f t="shared" si="5"/>
        <v>21.215369913974687</v>
      </c>
      <c r="J50" s="3">
        <f t="shared" si="6"/>
        <v>56</v>
      </c>
    </row>
    <row r="51" spans="3:10" x14ac:dyDescent="0.25">
      <c r="C51" s="3">
        <v>57</v>
      </c>
      <c r="D51" s="3">
        <f t="shared" si="0"/>
        <v>5.9137000000000004</v>
      </c>
      <c r="E51" s="3">
        <f t="shared" si="1"/>
        <v>21.683566666666668</v>
      </c>
      <c r="F51" s="2">
        <f>(0.334*0.5^((C51+5)/6.31))*'EF Adjustment Table'!I$18</f>
        <v>5.6405868233272319E-4</v>
      </c>
      <c r="G51" s="8">
        <f t="shared" si="2"/>
        <v>0.75207824311029758</v>
      </c>
      <c r="H51" s="2">
        <f>IF(Calculator!$E$11='GWP reference values'!$C$6,G51*'GWP reference values'!$D$6/1000,IF(Calculator!$E$11='GWP reference values'!$C$7,G51*'GWP reference values'!$D$7/1000,IF(Calculator!$E$11='GWP reference values'!$C$8,G51*'GWP reference values'!$D$8/1000,"Error")))</f>
        <v>2.1058190807088335E-2</v>
      </c>
      <c r="I51" s="2">
        <f t="shared" si="5"/>
        <v>21.704624857473757</v>
      </c>
      <c r="J51" s="3">
        <f t="shared" si="6"/>
        <v>57</v>
      </c>
    </row>
    <row r="52" spans="3:10" x14ac:dyDescent="0.25">
      <c r="C52" s="3">
        <v>58</v>
      </c>
      <c r="D52" s="3">
        <f t="shared" si="0"/>
        <v>6.0478000000000005</v>
      </c>
      <c r="E52" s="3">
        <f t="shared" si="1"/>
        <v>22.175266666666666</v>
      </c>
      <c r="F52" s="2">
        <f>(0.334*0.5^((C52+5)/6.31))*'EF Adjustment Table'!I$18</f>
        <v>5.053793292174167E-4</v>
      </c>
      <c r="G52" s="8">
        <f t="shared" si="2"/>
        <v>0.67383910562322225</v>
      </c>
      <c r="H52" s="2">
        <f>IF(Calculator!$E$11='GWP reference values'!$C$6,G52*'GWP reference values'!$D$6/1000,IF(Calculator!$E$11='GWP reference values'!$C$7,G52*'GWP reference values'!$D$7/1000,IF(Calculator!$E$11='GWP reference values'!$C$8,G52*'GWP reference values'!$D$8/1000,"Error")))</f>
        <v>1.8867494957450222E-2</v>
      </c>
      <c r="I52" s="2">
        <f t="shared" si="5"/>
        <v>22.194134161624117</v>
      </c>
      <c r="J52" s="3">
        <f t="shared" si="6"/>
        <v>58</v>
      </c>
    </row>
    <row r="53" spans="3:10" x14ac:dyDescent="0.25">
      <c r="C53" s="3">
        <v>59</v>
      </c>
      <c r="D53" s="3">
        <f t="shared" si="0"/>
        <v>6.1819000000000006</v>
      </c>
      <c r="E53" s="3">
        <f t="shared" si="1"/>
        <v>22.666966666666667</v>
      </c>
      <c r="F53" s="2">
        <f>(0.334*0.5^((C53+5)/6.31))*'EF Adjustment Table'!I$18</f>
        <v>4.5280442336952939E-4</v>
      </c>
      <c r="G53" s="8">
        <f t="shared" si="2"/>
        <v>0.60373923115937245</v>
      </c>
      <c r="H53" s="2">
        <f>IF(Calculator!$E$11='GWP reference values'!$C$6,G53*'GWP reference values'!$D$6/1000,IF(Calculator!$E$11='GWP reference values'!$C$7,G53*'GWP reference values'!$D$7/1000,IF(Calculator!$E$11='GWP reference values'!$C$8,G53*'GWP reference values'!$D$8/1000,"Error")))</f>
        <v>1.690469847246243E-2</v>
      </c>
      <c r="I53" s="2">
        <f t="shared" si="5"/>
        <v>22.683871365139129</v>
      </c>
      <c r="J53" s="3">
        <f t="shared" si="6"/>
        <v>59</v>
      </c>
    </row>
    <row r="54" spans="3:10" x14ac:dyDescent="0.25">
      <c r="C54" s="3">
        <v>60</v>
      </c>
      <c r="D54" s="3">
        <f t="shared" si="0"/>
        <v>6.3159999999999989</v>
      </c>
      <c r="E54" s="3">
        <f t="shared" si="1"/>
        <v>23.158666666666662</v>
      </c>
      <c r="F54" s="2">
        <f>(0.334*0.5^((C54+5)/6.31))*'EF Adjustment Table'!I$18</f>
        <v>4.0569891558585471E-4</v>
      </c>
      <c r="G54" s="8">
        <f t="shared" si="2"/>
        <v>0.54093188744780629</v>
      </c>
      <c r="H54" s="2">
        <f>IF(Calculator!$E$11='GWP reference values'!$C$6,G54*'GWP reference values'!$D$6/1000,IF(Calculator!$E$11='GWP reference values'!$C$7,G54*'GWP reference values'!$D$7/1000,IF(Calculator!$E$11='GWP reference values'!$C$8,G54*'GWP reference values'!$D$8/1000,"Error")))</f>
        <v>1.5146092848538576E-2</v>
      </c>
      <c r="I54" s="2">
        <f t="shared" si="5"/>
        <v>23.173812759515201</v>
      </c>
      <c r="J54" s="3">
        <f t="shared" si="6"/>
        <v>60</v>
      </c>
    </row>
    <row r="55" spans="3:10" x14ac:dyDescent="0.25">
      <c r="C55" s="3">
        <v>61</v>
      </c>
      <c r="D55" s="3">
        <f t="shared" si="0"/>
        <v>6.4500999999999991</v>
      </c>
      <c r="E55" s="3">
        <f t="shared" si="1"/>
        <v>23.650366666666663</v>
      </c>
      <c r="F55" s="2">
        <f>(0.334*0.5^((C55+5)/6.31))*'EF Adjustment Table'!I$18</f>
        <v>3.6349382120151315E-4</v>
      </c>
      <c r="G55" s="8">
        <f t="shared" si="2"/>
        <v>0.48465842826868416</v>
      </c>
      <c r="H55" s="2">
        <f>IF(Calculator!$E$11='GWP reference values'!$C$6,G55*'GWP reference values'!$D$6/1000,IF(Calculator!$E$11='GWP reference values'!$C$7,G55*'GWP reference values'!$D$7/1000,IF(Calculator!$E$11='GWP reference values'!$C$8,G55*'GWP reference values'!$D$8/1000,"Error")))</f>
        <v>1.3570435991523157E-2</v>
      </c>
      <c r="I55" s="2">
        <f t="shared" si="5"/>
        <v>23.663937102658185</v>
      </c>
      <c r="J55" s="3">
        <f t="shared" si="6"/>
        <v>61</v>
      </c>
    </row>
    <row r="56" spans="3:10" x14ac:dyDescent="0.25">
      <c r="C56" s="3">
        <v>62</v>
      </c>
      <c r="D56" s="3">
        <f t="shared" si="0"/>
        <v>6.5841999999999992</v>
      </c>
      <c r="E56" s="3">
        <f t="shared" si="1"/>
        <v>24.142066666666665</v>
      </c>
      <c r="F56" s="2">
        <f>(0.334*0.5^((C56+5)/6.31))*'EF Adjustment Table'!I$18</f>
        <v>3.2567934735757721E-4</v>
      </c>
      <c r="G56" s="8">
        <f t="shared" si="2"/>
        <v>0.43423912981010293</v>
      </c>
      <c r="H56" s="2">
        <f>IF(Calculator!$E$11='GWP reference values'!$C$6,G56*'GWP reference values'!$D$6/1000,IF(Calculator!$E$11='GWP reference values'!$C$7,G56*'GWP reference values'!$D$7/1000,IF(Calculator!$E$11='GWP reference values'!$C$8,G56*'GWP reference values'!$D$8/1000,"Error")))</f>
        <v>1.2158695634682882E-2</v>
      </c>
      <c r="I56" s="2">
        <f t="shared" si="5"/>
        <v>24.154225362301347</v>
      </c>
      <c r="J56" s="3">
        <f t="shared" si="6"/>
        <v>62</v>
      </c>
    </row>
    <row r="57" spans="3:10" x14ac:dyDescent="0.25">
      <c r="C57" s="3">
        <v>63</v>
      </c>
      <c r="D57" s="3">
        <f t="shared" si="0"/>
        <v>6.7182999999999993</v>
      </c>
      <c r="E57" s="3">
        <f t="shared" si="1"/>
        <v>24.633766666666663</v>
      </c>
      <c r="F57" s="2">
        <f>(0.334*0.5^((C57+5)/6.31))*'EF Adjustment Table'!I$18</f>
        <v>2.917987352430288E-4</v>
      </c>
      <c r="G57" s="8">
        <f t="shared" si="2"/>
        <v>0.38906498032403841</v>
      </c>
      <c r="H57" s="2">
        <f>IF(Calculator!$E$11='GWP reference values'!$C$6,G57*'GWP reference values'!$D$6/1000,IF(Calculator!$E$11='GWP reference values'!$C$7,G57*'GWP reference values'!$D$7/1000,IF(Calculator!$E$11='GWP reference values'!$C$8,G57*'GWP reference values'!$D$8/1000,"Error")))</f>
        <v>1.0893819449073076E-2</v>
      </c>
      <c r="I57" s="2">
        <f t="shared" si="5"/>
        <v>24.644660486115736</v>
      </c>
      <c r="J57" s="3">
        <f t="shared" si="6"/>
        <v>63</v>
      </c>
    </row>
    <row r="58" spans="3:10" x14ac:dyDescent="0.25">
      <c r="C58" s="3">
        <v>64</v>
      </c>
      <c r="D58" s="3">
        <f t="shared" si="0"/>
        <v>6.8523999999999994</v>
      </c>
      <c r="E58" s="3">
        <f t="shared" si="1"/>
        <v>25.125466666666664</v>
      </c>
      <c r="F58" s="2">
        <f>(0.334*0.5^((C58+5)/6.31))*'EF Adjustment Table'!I$18</f>
        <v>2.614427429318859E-4</v>
      </c>
      <c r="G58" s="8">
        <f t="shared" si="2"/>
        <v>0.34859032390918121</v>
      </c>
      <c r="H58" s="2">
        <f>IF(Calculator!$E$11='GWP reference values'!$C$6,G58*'GWP reference values'!$D$6/1000,IF(Calculator!$E$11='GWP reference values'!$C$7,G58*'GWP reference values'!$D$7/1000,IF(Calculator!$E$11='GWP reference values'!$C$8,G58*'GWP reference values'!$D$8/1000,"Error")))</f>
        <v>9.7605290694570742E-3</v>
      </c>
      <c r="I58" s="2">
        <f t="shared" si="5"/>
        <v>25.135227195736121</v>
      </c>
      <c r="J58" s="3">
        <f t="shared" si="6"/>
        <v>64</v>
      </c>
    </row>
    <row r="59" spans="3:10" x14ac:dyDescent="0.25">
      <c r="C59" s="3">
        <v>65</v>
      </c>
      <c r="D59" s="3">
        <f t="shared" si="0"/>
        <v>6.9864999999999995</v>
      </c>
      <c r="E59" s="3">
        <f t="shared" si="1"/>
        <v>25.617166666666666</v>
      </c>
      <c r="F59" s="2">
        <f>(0.334*0.5^((C59+5)/6.31))*'EF Adjustment Table'!I$18</f>
        <v>2.3424470217398228E-4</v>
      </c>
      <c r="G59" s="8">
        <f t="shared" si="2"/>
        <v>0.31232626956530968</v>
      </c>
      <c r="H59" s="2">
        <f>IF(Calculator!$E$11='GWP reference values'!$C$6,G59*'GWP reference values'!$D$6/1000,IF(Calculator!$E$11='GWP reference values'!$C$7,G59*'GWP reference values'!$D$7/1000,IF(Calculator!$E$11='GWP reference values'!$C$8,G59*'GWP reference values'!$D$8/1000,"Error")))</f>
        <v>8.7451355478286707E-3</v>
      </c>
      <c r="I59" s="2">
        <f t="shared" si="5"/>
        <v>25.625911802214496</v>
      </c>
      <c r="J59" s="3">
        <f t="shared" si="6"/>
        <v>65</v>
      </c>
    </row>
    <row r="60" spans="3:10" x14ac:dyDescent="0.25">
      <c r="C60" s="3">
        <v>66</v>
      </c>
      <c r="D60" s="3">
        <f t="shared" si="0"/>
        <v>7.1205999999999996</v>
      </c>
      <c r="E60" s="3">
        <f t="shared" si="1"/>
        <v>26.108866666666664</v>
      </c>
      <c r="F60" s="2">
        <f>(0.334*0.5^((C60+5)/6.31))*'EF Adjustment Table'!I$18</f>
        <v>2.098760894306914E-4</v>
      </c>
      <c r="G60" s="8">
        <f t="shared" si="2"/>
        <v>0.27983478590758853</v>
      </c>
      <c r="H60" s="2">
        <f>IF(Calculator!$E$11='GWP reference values'!$C$6,G60*'GWP reference values'!$D$6/1000,IF(Calculator!$E$11='GWP reference values'!$C$7,G60*'GWP reference values'!$D$7/1000,IF(Calculator!$E$11='GWP reference values'!$C$8,G60*'GWP reference values'!$D$8/1000,"Error")))</f>
        <v>7.8353740054124786E-3</v>
      </c>
      <c r="I60" s="2">
        <f t="shared" si="5"/>
        <v>26.116702040672077</v>
      </c>
      <c r="J60" s="3">
        <f t="shared" si="6"/>
        <v>66</v>
      </c>
    </row>
    <row r="61" spans="3:10" x14ac:dyDescent="0.25">
      <c r="C61" s="3">
        <v>67</v>
      </c>
      <c r="D61" s="3">
        <f t="shared" si="0"/>
        <v>7.2546999999999997</v>
      </c>
      <c r="E61" s="3">
        <f t="shared" si="1"/>
        <v>26.600566666666666</v>
      </c>
      <c r="F61" s="2">
        <f>(0.334*0.5^((C61+5)/6.31))*'EF Adjustment Table'!I$18</f>
        <v>1.8804255765837331E-4</v>
      </c>
      <c r="G61" s="8">
        <f t="shared" si="2"/>
        <v>0.2507234102111644</v>
      </c>
      <c r="H61" s="2">
        <f>IF(Calculator!$E$11='GWP reference values'!$C$6,G61*'GWP reference values'!$D$6/1000,IF(Calculator!$E$11='GWP reference values'!$C$7,G61*'GWP reference values'!$D$7/1000,IF(Calculator!$E$11='GWP reference values'!$C$8,G61*'GWP reference values'!$D$8/1000,"Error")))</f>
        <v>7.0202554859126031E-3</v>
      </c>
      <c r="I61" s="2">
        <f t="shared" si="5"/>
        <v>26.607586922152578</v>
      </c>
      <c r="J61" s="3">
        <f t="shared" si="6"/>
        <v>67</v>
      </c>
    </row>
    <row r="62" spans="3:10" x14ac:dyDescent="0.25">
      <c r="C62" s="3">
        <v>68</v>
      </c>
      <c r="D62" s="3">
        <f t="shared" si="0"/>
        <v>7.3887999999999998</v>
      </c>
      <c r="E62" s="3">
        <f t="shared" si="1"/>
        <v>27.092266666666667</v>
      </c>
      <c r="F62" s="2">
        <f>(0.334*0.5^((C62+5)/6.31))*'EF Adjustment Table'!I$18</f>
        <v>1.6848038090770597E-4</v>
      </c>
      <c r="G62" s="8">
        <f t="shared" si="2"/>
        <v>0.22464050787694131</v>
      </c>
      <c r="H62" s="2">
        <f>IF(Calculator!$E$11='GWP reference values'!$C$6,G62*'GWP reference values'!$D$6/1000,IF(Calculator!$E$11='GWP reference values'!$C$7,G62*'GWP reference values'!$D$7/1000,IF(Calculator!$E$11='GWP reference values'!$C$8,G62*'GWP reference values'!$D$8/1000,"Error")))</f>
        <v>6.2899342205543565E-3</v>
      </c>
      <c r="I62" s="2">
        <f t="shared" si="5"/>
        <v>27.098556600887221</v>
      </c>
      <c r="J62" s="3">
        <f t="shared" si="6"/>
        <v>68</v>
      </c>
    </row>
    <row r="63" spans="3:10" x14ac:dyDescent="0.25">
      <c r="C63" s="3">
        <v>69</v>
      </c>
      <c r="D63" s="3">
        <f t="shared" ref="D63:D90" si="10">0.1341*C63-1.73</f>
        <v>7.5228999999999999</v>
      </c>
      <c r="E63" s="3">
        <f t="shared" ref="E63:E90" si="11">D63/12*44</f>
        <v>27.583966666666665</v>
      </c>
      <c r="F63" s="2">
        <f>(0.334*0.5^((C63+5)/6.31))*'EF Adjustment Table'!I$18</f>
        <v>1.5095326879341529E-4</v>
      </c>
      <c r="G63" s="8">
        <f t="shared" ref="G63:G90" si="12">F63*1000*16/12</f>
        <v>0.20127102505788705</v>
      </c>
      <c r="H63" s="2">
        <f>IF(Calculator!$E$11='GWP reference values'!$C$6,G63*'GWP reference values'!$D$6/1000,IF(Calculator!$E$11='GWP reference values'!$C$7,G63*'GWP reference values'!$D$7/1000,IF(Calculator!$E$11='GWP reference values'!$C$8,G63*'GWP reference values'!$D$8/1000,"Error")))</f>
        <v>5.6355887016208374E-3</v>
      </c>
      <c r="I63" s="2">
        <f t="shared" si="5"/>
        <v>27.589602255368288</v>
      </c>
      <c r="J63" s="3">
        <f t="shared" si="6"/>
        <v>69</v>
      </c>
    </row>
    <row r="64" spans="3:10" x14ac:dyDescent="0.25">
      <c r="C64" s="3">
        <v>70</v>
      </c>
      <c r="D64" s="3">
        <f t="shared" si="10"/>
        <v>7.657</v>
      </c>
      <c r="E64" s="3">
        <f t="shared" si="11"/>
        <v>28.075666666666667</v>
      </c>
      <c r="F64" s="2">
        <f>(0.334*0.5^((C64+5)/6.31))*'EF Adjustment Table'!I$18</f>
        <v>1.3524951235657407E-4</v>
      </c>
      <c r="G64" s="8">
        <f t="shared" si="12"/>
        <v>0.18033268314209874</v>
      </c>
      <c r="H64" s="2">
        <f>IF(Calculator!$E$11='GWP reference values'!$C$6,G64*'GWP reference values'!$D$6/1000,IF(Calculator!$E$11='GWP reference values'!$C$7,G64*'GWP reference values'!$D$7/1000,IF(Calculator!$E$11='GWP reference values'!$C$8,G64*'GWP reference values'!$D$8/1000,"Error")))</f>
        <v>5.0493151279787643E-3</v>
      </c>
      <c r="I64" s="2">
        <f t="shared" si="5"/>
        <v>28.080715981794647</v>
      </c>
      <c r="J64" s="3">
        <f t="shared" si="6"/>
        <v>70</v>
      </c>
    </row>
    <row r="65" spans="3:10" x14ac:dyDescent="0.25">
      <c r="C65" s="3">
        <v>71</v>
      </c>
      <c r="D65" s="3">
        <f t="shared" si="10"/>
        <v>7.7911000000000001</v>
      </c>
      <c r="E65" s="3">
        <f t="shared" si="11"/>
        <v>28.567366666666668</v>
      </c>
      <c r="F65" s="2">
        <f>(0.334*0.5^((C65+5)/6.31))*'EF Adjustment Table'!I$18</f>
        <v>1.2117942684450841E-4</v>
      </c>
      <c r="G65" s="8">
        <f t="shared" si="12"/>
        <v>0.16157256912601123</v>
      </c>
      <c r="H65" s="2">
        <f>IF(Calculator!$E$11='GWP reference values'!$C$6,G65*'GWP reference values'!$D$6/1000,IF(Calculator!$E$11='GWP reference values'!$C$7,G65*'GWP reference values'!$D$7/1000,IF(Calculator!$E$11='GWP reference values'!$C$8,G65*'GWP reference values'!$D$8/1000,"Error")))</f>
        <v>4.5240319355283141E-3</v>
      </c>
      <c r="I65" s="2">
        <f t="shared" si="5"/>
        <v>28.571890698602196</v>
      </c>
      <c r="J65" s="3">
        <f t="shared" si="6"/>
        <v>71</v>
      </c>
    </row>
    <row r="66" spans="3:10" x14ac:dyDescent="0.25">
      <c r="C66" s="3">
        <v>72</v>
      </c>
      <c r="D66" s="3">
        <f t="shared" si="10"/>
        <v>7.9252000000000002</v>
      </c>
      <c r="E66" s="3">
        <f t="shared" si="11"/>
        <v>29.059066666666666</v>
      </c>
      <c r="F66" s="2">
        <f>(0.334*0.5^((C66+5)/6.31))*'EF Adjustment Table'!I$18</f>
        <v>1.0857306051979843E-4</v>
      </c>
      <c r="G66" s="8">
        <f t="shared" si="12"/>
        <v>0.1447640806930646</v>
      </c>
      <c r="H66" s="2">
        <f>IF(Calculator!$E$11='GWP reference values'!$C$6,G66*'GWP reference values'!$D$6/1000,IF(Calculator!$E$11='GWP reference values'!$C$7,G66*'GWP reference values'!$D$7/1000,IF(Calculator!$E$11='GWP reference values'!$C$8,G66*'GWP reference values'!$D$8/1000,"Error")))</f>
        <v>4.0533942594058086E-3</v>
      </c>
      <c r="I66" s="2">
        <f t="shared" si="5"/>
        <v>29.063120060926071</v>
      </c>
      <c r="J66" s="3">
        <f t="shared" si="6"/>
        <v>72</v>
      </c>
    </row>
    <row r="67" spans="3:10" x14ac:dyDescent="0.25">
      <c r="C67" s="3">
        <v>73</v>
      </c>
      <c r="D67" s="3">
        <f t="shared" si="10"/>
        <v>8.0592999999999986</v>
      </c>
      <c r="E67" s="3">
        <f t="shared" si="11"/>
        <v>29.550766666666664</v>
      </c>
      <c r="F67" s="2">
        <f>(0.334*0.5^((C67+5)/6.31))*'EF Adjustment Table'!I$18</f>
        <v>9.7278141823213627E-5</v>
      </c>
      <c r="G67" s="8">
        <f t="shared" si="12"/>
        <v>0.12970418909761816</v>
      </c>
      <c r="H67" s="2">
        <f>IF(Calculator!$E$11='GWP reference values'!$C$6,G67*'GWP reference values'!$D$6/1000,IF(Calculator!$E$11='GWP reference values'!$C$7,G67*'GWP reference values'!$D$7/1000,IF(Calculator!$E$11='GWP reference values'!$C$8,G67*'GWP reference values'!$D$8/1000,"Error")))</f>
        <v>3.6317172947333085E-3</v>
      </c>
      <c r="I67" s="2">
        <f t="shared" si="5"/>
        <v>29.554398383961399</v>
      </c>
      <c r="J67" s="3">
        <f t="shared" si="6"/>
        <v>73</v>
      </c>
    </row>
    <row r="68" spans="3:10" x14ac:dyDescent="0.25">
      <c r="C68" s="3">
        <v>74</v>
      </c>
      <c r="D68" s="3">
        <f t="shared" si="10"/>
        <v>8.1933999999999987</v>
      </c>
      <c r="E68" s="3">
        <f t="shared" si="11"/>
        <v>30.042466666666659</v>
      </c>
      <c r="F68" s="2">
        <f>(0.334*0.5^((C68+5)/6.31))*'EF Adjustment Table'!I$18</f>
        <v>8.7158240094481536E-5</v>
      </c>
      <c r="G68" s="8">
        <f t="shared" si="12"/>
        <v>0.11621098679264204</v>
      </c>
      <c r="H68" s="2">
        <f>IF(Calculator!$E$11='GWP reference values'!$C$6,G68*'GWP reference values'!$D$6/1000,IF(Calculator!$E$11='GWP reference values'!$C$7,G68*'GWP reference values'!$D$7/1000,IF(Calculator!$E$11='GWP reference values'!$C$8,G68*'GWP reference values'!$D$8/1000,"Error")))</f>
        <v>3.2539076301939768E-3</v>
      </c>
      <c r="I68" s="2">
        <f t="shared" si="5"/>
        <v>30.045720574296851</v>
      </c>
      <c r="J68" s="3">
        <f t="shared" si="6"/>
        <v>74</v>
      </c>
    </row>
    <row r="69" spans="3:10" x14ac:dyDescent="0.25">
      <c r="C69" s="3">
        <v>75</v>
      </c>
      <c r="D69" s="3">
        <f t="shared" si="10"/>
        <v>8.3274999999999988</v>
      </c>
      <c r="E69" s="3">
        <f t="shared" si="11"/>
        <v>30.534166666666664</v>
      </c>
      <c r="F69" s="2">
        <f>(0.334*0.5^((C69+5)/6.31))*'EF Adjustment Table'!I$18</f>
        <v>7.8091117634347231E-5</v>
      </c>
      <c r="G69" s="8">
        <f t="shared" si="12"/>
        <v>0.10412149017912964</v>
      </c>
      <c r="H69" s="2">
        <f>IF(Calculator!$E$11='GWP reference values'!$C$6,G69*'GWP reference values'!$D$6/1000,IF(Calculator!$E$11='GWP reference values'!$C$7,G69*'GWP reference values'!$D$7/1000,IF(Calculator!$E$11='GWP reference values'!$C$8,G69*'GWP reference values'!$D$8/1000,"Error")))</f>
        <v>2.9154017250156298E-3</v>
      </c>
      <c r="I69" s="2">
        <f t="shared" si="5"/>
        <v>30.53708206839168</v>
      </c>
      <c r="J69" s="3">
        <f t="shared" si="6"/>
        <v>75</v>
      </c>
    </row>
    <row r="70" spans="3:10" x14ac:dyDescent="0.25">
      <c r="C70" s="3">
        <v>76</v>
      </c>
      <c r="D70" s="3">
        <f t="shared" si="10"/>
        <v>8.4615999999999989</v>
      </c>
      <c r="E70" s="3">
        <f t="shared" si="11"/>
        <v>31.025866666666666</v>
      </c>
      <c r="F70" s="2">
        <f>(0.334*0.5^((C70+5)/6.31))*'EF Adjustment Table'!I$18</f>
        <v>6.9967253202575364E-5</v>
      </c>
      <c r="G70" s="8">
        <f t="shared" si="12"/>
        <v>9.3289670936767155E-2</v>
      </c>
      <c r="H70" s="2">
        <f>IF(Calculator!$E$11='GWP reference values'!$C$6,G70*'GWP reference values'!$D$6/1000,IF(Calculator!$E$11='GWP reference values'!$C$7,G70*'GWP reference values'!$D$7/1000,IF(Calculator!$E$11='GWP reference values'!$C$8,G70*'GWP reference values'!$D$8/1000,"Error")))</f>
        <v>2.6121107862294799E-3</v>
      </c>
      <c r="I70" s="2">
        <f t="shared" si="5"/>
        <v>31.028478777452897</v>
      </c>
      <c r="J70" s="3">
        <f t="shared" si="6"/>
        <v>76</v>
      </c>
    </row>
    <row r="71" spans="3:10" x14ac:dyDescent="0.25">
      <c r="C71" s="3">
        <v>77</v>
      </c>
      <c r="D71" s="3">
        <f t="shared" si="10"/>
        <v>8.595699999999999</v>
      </c>
      <c r="E71" s="3">
        <f t="shared" si="11"/>
        <v>31.51756666666666</v>
      </c>
      <c r="F71" s="2">
        <f>(0.334*0.5^((C71+5)/6.31))*'EF Adjustment Table'!I$18</f>
        <v>6.2688519117315412E-5</v>
      </c>
      <c r="G71" s="8">
        <f t="shared" si="12"/>
        <v>8.3584692156420545E-2</v>
      </c>
      <c r="H71" s="2">
        <f>IF(Calculator!$E$11='GWP reference values'!$C$6,G71*'GWP reference values'!$D$6/1000,IF(Calculator!$E$11='GWP reference values'!$C$7,G71*'GWP reference values'!$D$7/1000,IF(Calculator!$E$11='GWP reference values'!$C$8,G71*'GWP reference values'!$D$8/1000,"Error")))</f>
        <v>2.3403713803797754E-3</v>
      </c>
      <c r="I71" s="2">
        <f t="shared" si="5"/>
        <v>31.519907038047041</v>
      </c>
      <c r="J71" s="3">
        <f t="shared" si="6"/>
        <v>77</v>
      </c>
    </row>
    <row r="72" spans="3:10" x14ac:dyDescent="0.25">
      <c r="C72" s="3">
        <v>78</v>
      </c>
      <c r="D72" s="3">
        <f t="shared" si="10"/>
        <v>8.7297999999999991</v>
      </c>
      <c r="E72" s="3">
        <f t="shared" si="11"/>
        <v>32.009266666666662</v>
      </c>
      <c r="F72" s="2">
        <f>(0.334*0.5^((C72+5)/6.31))*'EF Adjustment Table'!I$18</f>
        <v>5.616699597658877E-5</v>
      </c>
      <c r="G72" s="8">
        <f t="shared" si="12"/>
        <v>7.488932796878503E-2</v>
      </c>
      <c r="H72" s="2">
        <f>IF(Calculator!$E$11='GWP reference values'!$C$6,G72*'GWP reference values'!$D$6/1000,IF(Calculator!$E$11='GWP reference values'!$C$7,G72*'GWP reference values'!$D$7/1000,IF(Calculator!$E$11='GWP reference values'!$C$8,G72*'GWP reference values'!$D$8/1000,"Error")))</f>
        <v>2.0969011831259809E-3</v>
      </c>
      <c r="I72" s="2">
        <f t="shared" si="5"/>
        <v>32.011363567849784</v>
      </c>
      <c r="J72" s="3">
        <f t="shared" si="6"/>
        <v>78</v>
      </c>
    </row>
    <row r="73" spans="3:10" x14ac:dyDescent="0.25">
      <c r="C73" s="3">
        <v>79</v>
      </c>
      <c r="D73" s="3">
        <f t="shared" si="10"/>
        <v>8.8638999999999992</v>
      </c>
      <c r="E73" s="3">
        <f t="shared" si="11"/>
        <v>32.500966666666663</v>
      </c>
      <c r="F73" s="2">
        <f>(0.334*0.5^((C73+5)/6.31))*'EF Adjustment Table'!I$18</f>
        <v>5.0323910684991128E-5</v>
      </c>
      <c r="G73" s="8">
        <f t="shared" si="12"/>
        <v>6.7098547579988163E-2</v>
      </c>
      <c r="H73" s="2">
        <f>IF(Calculator!$E$11='GWP reference values'!$C$6,G73*'GWP reference values'!$D$6/1000,IF(Calculator!$E$11='GWP reference values'!$C$7,G73*'GWP reference values'!$D$7/1000,IF(Calculator!$E$11='GWP reference values'!$C$8,G73*'GWP reference values'!$D$8/1000,"Error")))</f>
        <v>1.8787593322396685E-3</v>
      </c>
      <c r="I73" s="2">
        <f t="shared" si="5"/>
        <v>32.502845425998906</v>
      </c>
      <c r="J73" s="3">
        <f t="shared" si="6"/>
        <v>79</v>
      </c>
    </row>
    <row r="74" spans="3:10" x14ac:dyDescent="0.25">
      <c r="C74" s="3">
        <v>80</v>
      </c>
      <c r="D74" s="3">
        <f t="shared" si="10"/>
        <v>8.9979999999999993</v>
      </c>
      <c r="E74" s="3">
        <f t="shared" si="11"/>
        <v>32.992666666666665</v>
      </c>
      <c r="F74" s="2">
        <f>(0.334*0.5^((C74+5)/6.31))*'EF Adjustment Table'!I$18</f>
        <v>4.5088684958094278E-5</v>
      </c>
      <c r="G74" s="8">
        <f t="shared" si="12"/>
        <v>6.0118246610792375E-2</v>
      </c>
      <c r="H74" s="2">
        <f>IF(Calculator!$E$11='GWP reference values'!$C$6,G74*'GWP reference values'!$D$6/1000,IF(Calculator!$E$11='GWP reference values'!$C$7,G74*'GWP reference values'!$D$7/1000,IF(Calculator!$E$11='GWP reference values'!$C$8,G74*'GWP reference values'!$D$8/1000,"Error")))</f>
        <v>1.6833109051021867E-3</v>
      </c>
      <c r="I74" s="2">
        <f t="shared" si="5"/>
        <v>32.994349977571765</v>
      </c>
      <c r="J74" s="3">
        <f t="shared" si="6"/>
        <v>80</v>
      </c>
    </row>
    <row r="75" spans="3:10" x14ac:dyDescent="0.25">
      <c r="C75" s="3">
        <v>81</v>
      </c>
      <c r="D75" s="3">
        <f t="shared" si="10"/>
        <v>9.1320999999999994</v>
      </c>
      <c r="E75" s="3">
        <f t="shared" si="11"/>
        <v>33.484366666666666</v>
      </c>
      <c r="F75" s="2">
        <f>(0.334*0.5^((C75+5)/6.31))*'EF Adjustment Table'!I$18</f>
        <v>4.0398082811489581E-5</v>
      </c>
      <c r="G75" s="8">
        <f t="shared" si="12"/>
        <v>5.3864110415319438E-2</v>
      </c>
      <c r="H75" s="2">
        <f>IF(Calculator!$E$11='GWP reference values'!$C$6,G75*'GWP reference values'!$D$6/1000,IF(Calculator!$E$11='GWP reference values'!$C$7,G75*'GWP reference values'!$D$7/1000,IF(Calculator!$E$11='GWP reference values'!$C$8,G75*'GWP reference values'!$D$8/1000,"Error")))</f>
        <v>1.5081950916289442E-3</v>
      </c>
      <c r="I75" s="2">
        <f t="shared" ref="I75:I94" si="13">SUM(H75,E75)</f>
        <v>33.485874861758298</v>
      </c>
      <c r="J75" s="3">
        <f t="shared" ref="J75:J94" si="14">C75</f>
        <v>81</v>
      </c>
    </row>
    <row r="76" spans="3:10" x14ac:dyDescent="0.25">
      <c r="C76" s="3">
        <v>82</v>
      </c>
      <c r="D76" s="3">
        <f t="shared" si="10"/>
        <v>9.2661999999999995</v>
      </c>
      <c r="E76" s="3">
        <f t="shared" si="11"/>
        <v>33.976066666666668</v>
      </c>
      <c r="F76" s="2">
        <f>(0.334*0.5^((C76+5)/6.31))*'EF Adjustment Table'!I$18</f>
        <v>3.6195446737042095E-5</v>
      </c>
      <c r="G76" s="8">
        <f t="shared" si="12"/>
        <v>4.8260595649389455E-2</v>
      </c>
      <c r="H76" s="2">
        <f>IF(Calculator!$E$11='GWP reference values'!$C$6,G76*'GWP reference values'!$D$6/1000,IF(Calculator!$E$11='GWP reference values'!$C$7,G76*'GWP reference values'!$D$7/1000,IF(Calculator!$E$11='GWP reference values'!$C$8,G76*'GWP reference values'!$D$8/1000,"Error")))</f>
        <v>1.3512966781829047E-3</v>
      </c>
      <c r="I76" s="2">
        <f t="shared" si="13"/>
        <v>33.977417963344848</v>
      </c>
      <c r="J76" s="3">
        <f t="shared" si="14"/>
        <v>82</v>
      </c>
    </row>
    <row r="77" spans="3:10" x14ac:dyDescent="0.25">
      <c r="C77" s="3">
        <v>83</v>
      </c>
      <c r="D77" s="3">
        <f t="shared" si="10"/>
        <v>9.4002999999999997</v>
      </c>
      <c r="E77" s="3">
        <f t="shared" si="11"/>
        <v>34.467766666666662</v>
      </c>
      <c r="F77" s="2">
        <f>(0.334*0.5^((C77+5)/6.31))*'EF Adjustment Table'!I$18</f>
        <v>3.2430013340173766E-5</v>
      </c>
      <c r="G77" s="8">
        <f t="shared" si="12"/>
        <v>4.3240017786898351E-2</v>
      </c>
      <c r="H77" s="2">
        <f>IF(Calculator!$E$11='GWP reference values'!$C$6,G77*'GWP reference values'!$D$6/1000,IF(Calculator!$E$11='GWP reference values'!$C$7,G77*'GWP reference values'!$D$7/1000,IF(Calculator!$E$11='GWP reference values'!$C$8,G77*'GWP reference values'!$D$8/1000,"Error")))</f>
        <v>1.2107204980331538E-3</v>
      </c>
      <c r="I77" s="2">
        <f t="shared" si="13"/>
        <v>34.468977387164692</v>
      </c>
      <c r="J77" s="3">
        <f t="shared" si="14"/>
        <v>83</v>
      </c>
    </row>
    <row r="78" spans="3:10" x14ac:dyDescent="0.25">
      <c r="C78" s="3">
        <v>84</v>
      </c>
      <c r="D78" s="3">
        <f t="shared" si="10"/>
        <v>9.5343999999999998</v>
      </c>
      <c r="E78" s="3">
        <f t="shared" si="11"/>
        <v>34.959466666666664</v>
      </c>
      <c r="F78" s="2">
        <f>(0.334*0.5^((C78+5)/6.31))*'EF Adjustment Table'!I$18</f>
        <v>2.9056300171798738E-5</v>
      </c>
      <c r="G78" s="8">
        <f t="shared" si="12"/>
        <v>3.8741733562398316E-2</v>
      </c>
      <c r="H78" s="2">
        <f>IF(Calculator!$E$11='GWP reference values'!$C$6,G78*'GWP reference values'!$D$6/1000,IF(Calculator!$E$11='GWP reference values'!$C$7,G78*'GWP reference values'!$D$7/1000,IF(Calculator!$E$11='GWP reference values'!$C$8,G78*'GWP reference values'!$D$8/1000,"Error")))</f>
        <v>1.0847685397471528E-3</v>
      </c>
      <c r="I78" s="2">
        <f t="shared" si="13"/>
        <v>34.960551435206412</v>
      </c>
      <c r="J78" s="3">
        <f t="shared" si="14"/>
        <v>84</v>
      </c>
    </row>
    <row r="79" spans="3:10" x14ac:dyDescent="0.25">
      <c r="C79" s="3">
        <v>85</v>
      </c>
      <c r="D79" s="3">
        <f t="shared" si="10"/>
        <v>9.6684999999999999</v>
      </c>
      <c r="E79" s="3">
        <f t="shared" si="11"/>
        <v>35.451166666666666</v>
      </c>
      <c r="F79" s="2">
        <f>(0.334*0.5^((C79+5)/6.31))*'EF Adjustment Table'!I$18</f>
        <v>2.6033556348489189E-5</v>
      </c>
      <c r="G79" s="8">
        <f t="shared" si="12"/>
        <v>3.4711408464652253E-2</v>
      </c>
      <c r="H79" s="2">
        <f>IF(Calculator!$E$11='GWP reference values'!$C$6,G79*'GWP reference values'!$D$6/1000,IF(Calculator!$E$11='GWP reference values'!$C$7,G79*'GWP reference values'!$D$7/1000,IF(Calculator!$E$11='GWP reference values'!$C$8,G79*'GWP reference values'!$D$8/1000,"Error")))</f>
        <v>9.7191943701026306E-4</v>
      </c>
      <c r="I79" s="2">
        <f t="shared" si="13"/>
        <v>35.452138586103679</v>
      </c>
      <c r="J79" s="3">
        <f t="shared" si="14"/>
        <v>85</v>
      </c>
    </row>
    <row r="80" spans="3:10" x14ac:dyDescent="0.25">
      <c r="C80" s="3">
        <v>86</v>
      </c>
      <c r="D80" s="3">
        <f t="shared" si="10"/>
        <v>9.8026</v>
      </c>
      <c r="E80" s="3">
        <f t="shared" si="11"/>
        <v>35.942866666666667</v>
      </c>
      <c r="F80" s="2">
        <f>(0.334*0.5^((C80+5)/6.31))*'EF Adjustment Table'!I$18</f>
        <v>2.3325270324945399E-5</v>
      </c>
      <c r="G80" s="8">
        <f t="shared" si="12"/>
        <v>3.1100360433260532E-2</v>
      </c>
      <c r="H80" s="2">
        <f>IF(Calculator!$E$11='GWP reference values'!$C$6,G80*'GWP reference values'!$D$6/1000,IF(Calculator!$E$11='GWP reference values'!$C$7,G80*'GWP reference values'!$D$7/1000,IF(Calculator!$E$11='GWP reference values'!$C$8,G80*'GWP reference values'!$D$8/1000,"Error")))</f>
        <v>8.7081009213129485E-4</v>
      </c>
      <c r="I80" s="2">
        <f t="shared" si="13"/>
        <v>35.943737476758798</v>
      </c>
      <c r="J80" s="3">
        <f t="shared" si="14"/>
        <v>86</v>
      </c>
    </row>
    <row r="81" spans="2:10" x14ac:dyDescent="0.25">
      <c r="C81" s="3">
        <v>87</v>
      </c>
      <c r="D81" s="3">
        <f t="shared" si="10"/>
        <v>9.9367000000000001</v>
      </c>
      <c r="E81" s="3">
        <f t="shared" si="11"/>
        <v>36.434566666666669</v>
      </c>
      <c r="F81" s="2">
        <f>(0.334*0.5^((C81+5)/6.31))*'EF Adjustment Table'!I$18</f>
        <v>2.0898728873181878E-5</v>
      </c>
      <c r="G81" s="8">
        <f t="shared" si="12"/>
        <v>2.7864971830909174E-2</v>
      </c>
      <c r="H81" s="2">
        <f>IF(Calculator!$E$11='GWP reference values'!$C$6,G81*'GWP reference values'!$D$6/1000,IF(Calculator!$E$11='GWP reference values'!$C$7,G81*'GWP reference values'!$D$7/1000,IF(Calculator!$E$11='GWP reference values'!$C$8,G81*'GWP reference values'!$D$8/1000,"Error")))</f>
        <v>7.8021921126545692E-4</v>
      </c>
      <c r="I81" s="2">
        <f t="shared" si="13"/>
        <v>36.435346885877934</v>
      </c>
      <c r="J81" s="3">
        <f t="shared" si="14"/>
        <v>87</v>
      </c>
    </row>
    <row r="82" spans="2:10" x14ac:dyDescent="0.25">
      <c r="C82" s="3">
        <v>88</v>
      </c>
      <c r="D82" s="3">
        <f t="shared" si="10"/>
        <v>10.070799999999998</v>
      </c>
      <c r="E82" s="3">
        <f t="shared" si="11"/>
        <v>36.926266666666656</v>
      </c>
      <c r="F82" s="2">
        <f>(0.334*0.5^((C82+5)/6.31))*'EF Adjustment Table'!I$18</f>
        <v>1.8724621941366005E-5</v>
      </c>
      <c r="G82" s="8">
        <f t="shared" si="12"/>
        <v>2.4966162588488008E-2</v>
      </c>
      <c r="H82" s="2">
        <f>IF(Calculator!$E$11='GWP reference values'!$C$6,G82*'GWP reference values'!$D$6/1000,IF(Calculator!$E$11='GWP reference values'!$C$7,G82*'GWP reference values'!$D$7/1000,IF(Calculator!$E$11='GWP reference values'!$C$8,G82*'GWP reference values'!$D$8/1000,"Error")))</f>
        <v>6.9905255247766434E-4</v>
      </c>
      <c r="I82" s="2">
        <f t="shared" si="13"/>
        <v>36.926965719219133</v>
      </c>
      <c r="J82" s="3">
        <f t="shared" si="14"/>
        <v>88</v>
      </c>
    </row>
    <row r="83" spans="2:10" x14ac:dyDescent="0.25">
      <c r="C83" s="3">
        <v>89</v>
      </c>
      <c r="D83" s="3">
        <f t="shared" si="10"/>
        <v>10.204899999999999</v>
      </c>
      <c r="E83" s="3">
        <f t="shared" si="11"/>
        <v>37.417966666666658</v>
      </c>
      <c r="F83" s="2">
        <f>(0.334*0.5^((C83+5)/6.31))*'EF Adjustment Table'!I$18</f>
        <v>1.6776688619421437E-5</v>
      </c>
      <c r="G83" s="8">
        <f t="shared" si="12"/>
        <v>2.236891815922858E-2</v>
      </c>
      <c r="H83" s="2">
        <f>IF(Calculator!$E$11='GWP reference values'!$C$6,G83*'GWP reference values'!$D$6/1000,IF(Calculator!$E$11='GWP reference values'!$C$7,G83*'GWP reference values'!$D$7/1000,IF(Calculator!$E$11='GWP reference values'!$C$8,G83*'GWP reference values'!$D$8/1000,"Error")))</f>
        <v>6.2632970845840014E-4</v>
      </c>
      <c r="I83" s="2">
        <f t="shared" si="13"/>
        <v>37.418592996375118</v>
      </c>
      <c r="J83" s="3">
        <f t="shared" si="14"/>
        <v>89</v>
      </c>
    </row>
    <row r="84" spans="2:10" x14ac:dyDescent="0.25">
      <c r="C84" s="3">
        <v>90</v>
      </c>
      <c r="D84" s="3">
        <f t="shared" si="10"/>
        <v>10.338999999999999</v>
      </c>
      <c r="E84" s="3">
        <f t="shared" si="11"/>
        <v>37.909666666666666</v>
      </c>
      <c r="F84" s="2">
        <f>(0.334*0.5^((C84+5)/6.31))*'EF Adjustment Table'!I$18</f>
        <v>1.5031399935036139E-5</v>
      </c>
      <c r="G84" s="8">
        <f t="shared" si="12"/>
        <v>2.0041866580048185E-2</v>
      </c>
      <c r="H84" s="2">
        <f>IF(Calculator!$E$11='GWP reference values'!$C$6,G84*'GWP reference values'!$D$6/1000,IF(Calculator!$E$11='GWP reference values'!$C$7,G84*'GWP reference values'!$D$7/1000,IF(Calculator!$E$11='GWP reference values'!$C$8,G84*'GWP reference values'!$D$8/1000,"Error")))</f>
        <v>5.6117226424134915E-4</v>
      </c>
      <c r="I84" s="2">
        <f t="shared" si="13"/>
        <v>37.910227838930908</v>
      </c>
      <c r="J84" s="3">
        <f t="shared" si="14"/>
        <v>90</v>
      </c>
    </row>
    <row r="85" spans="2:10" x14ac:dyDescent="0.25">
      <c r="C85" s="3">
        <v>91</v>
      </c>
      <c r="D85" s="3">
        <f t="shared" si="10"/>
        <v>10.473099999999999</v>
      </c>
      <c r="E85" s="3">
        <f t="shared" si="11"/>
        <v>38.401366666666661</v>
      </c>
      <c r="F85" s="2">
        <f>(0.334*0.5^((C85+5)/6.31))*'EF Adjustment Table'!I$18</f>
        <v>1.3467674648586062E-5</v>
      </c>
      <c r="G85" s="8">
        <f t="shared" si="12"/>
        <v>1.7956899531448082E-2</v>
      </c>
      <c r="H85" s="2">
        <f>IF(Calculator!$E$11='GWP reference values'!$C$6,G85*'GWP reference values'!$D$6/1000,IF(Calculator!$E$11='GWP reference values'!$C$7,G85*'GWP reference values'!$D$7/1000,IF(Calculator!$E$11='GWP reference values'!$C$8,G85*'GWP reference values'!$D$8/1000,"Error")))</f>
        <v>5.0279318688054627E-4</v>
      </c>
      <c r="I85" s="2">
        <f t="shared" si="13"/>
        <v>38.401869459853543</v>
      </c>
      <c r="J85" s="3">
        <f t="shared" si="14"/>
        <v>91</v>
      </c>
    </row>
    <row r="86" spans="2:10" x14ac:dyDescent="0.25">
      <c r="C86" s="3">
        <v>92</v>
      </c>
      <c r="D86" s="3">
        <f t="shared" si="10"/>
        <v>10.607199999999999</v>
      </c>
      <c r="E86" s="3">
        <f t="shared" si="11"/>
        <v>38.893066666666662</v>
      </c>
      <c r="F86" s="2">
        <f>(0.334*0.5^((C86+5)/6.31))*'EF Adjustment Table'!I$18</f>
        <v>1.206662461407868E-5</v>
      </c>
      <c r="G86" s="8">
        <f t="shared" si="12"/>
        <v>1.6088832818771572E-2</v>
      </c>
      <c r="H86" s="2">
        <f>IF(Calculator!$E$11='GWP reference values'!$C$6,G86*'GWP reference values'!$D$6/1000,IF(Calculator!$E$11='GWP reference values'!$C$7,G86*'GWP reference values'!$D$7/1000,IF(Calculator!$E$11='GWP reference values'!$C$8,G86*'GWP reference values'!$D$8/1000,"Error")))</f>
        <v>4.5048731892560398E-4</v>
      </c>
      <c r="I86" s="2">
        <f t="shared" si="13"/>
        <v>38.893517153985592</v>
      </c>
      <c r="J86" s="3">
        <f t="shared" si="14"/>
        <v>92</v>
      </c>
    </row>
    <row r="87" spans="2:10" x14ac:dyDescent="0.25">
      <c r="C87" s="3">
        <v>93</v>
      </c>
      <c r="D87" s="3">
        <f t="shared" si="10"/>
        <v>10.741299999999999</v>
      </c>
      <c r="E87" s="3">
        <f t="shared" si="11"/>
        <v>39.384766666666664</v>
      </c>
      <c r="F87" s="2">
        <f>(0.334*0.5^((C87+5)/6.31))*'EF Adjustment Table'!I$18</f>
        <v>1.0811326630345628E-5</v>
      </c>
      <c r="G87" s="8">
        <f t="shared" si="12"/>
        <v>1.4415102173794171E-2</v>
      </c>
      <c r="H87" s="2">
        <f>IF(Calculator!$E$11='GWP reference values'!$C$6,G87*'GWP reference values'!$D$6/1000,IF(Calculator!$E$11='GWP reference values'!$C$7,G87*'GWP reference values'!$D$7/1000,IF(Calculator!$E$11='GWP reference values'!$C$8,G87*'GWP reference values'!$D$8/1000,"Error")))</f>
        <v>4.0362286086623677E-4</v>
      </c>
      <c r="I87" s="2">
        <f t="shared" si="13"/>
        <v>39.38517028952753</v>
      </c>
      <c r="J87" s="3">
        <f t="shared" si="14"/>
        <v>93</v>
      </c>
    </row>
    <row r="88" spans="2:10" x14ac:dyDescent="0.25">
      <c r="C88" s="3">
        <v>94</v>
      </c>
      <c r="D88" s="3">
        <f t="shared" si="10"/>
        <v>10.875399999999999</v>
      </c>
      <c r="E88" s="3">
        <f t="shared" si="11"/>
        <v>39.876466666666659</v>
      </c>
      <c r="F88" s="2">
        <f>(0.334*0.5^((C88+5)/6.31))*'EF Adjustment Table'!I$18</f>
        <v>9.6866180266887535E-6</v>
      </c>
      <c r="G88" s="8">
        <f t="shared" si="12"/>
        <v>1.291549070225167E-2</v>
      </c>
      <c r="H88" s="2">
        <f>IF(Calculator!$E$11='GWP reference values'!$C$6,G88*'GWP reference values'!$D$6/1000,IF(Calculator!$E$11='GWP reference values'!$C$7,G88*'GWP reference values'!$D$7/1000,IF(Calculator!$E$11='GWP reference values'!$C$8,G88*'GWP reference values'!$D$8/1000,"Error")))</f>
        <v>3.6163373966304673E-4</v>
      </c>
      <c r="I88" s="2">
        <f t="shared" si="13"/>
        <v>39.876828300406324</v>
      </c>
      <c r="J88" s="3">
        <f t="shared" si="14"/>
        <v>94</v>
      </c>
    </row>
    <row r="89" spans="2:10" x14ac:dyDescent="0.25">
      <c r="C89" s="3">
        <v>95</v>
      </c>
      <c r="D89" s="3">
        <f t="shared" si="10"/>
        <v>11.009499999999999</v>
      </c>
      <c r="E89" s="3">
        <f t="shared" si="11"/>
        <v>40.368166666666667</v>
      </c>
      <c r="F89" s="2">
        <f>(0.334*0.5^((C89+5)/6.31))*'EF Adjustment Table'!I$18</f>
        <v>8.678913513870208E-6</v>
      </c>
      <c r="G89" s="8">
        <f t="shared" si="12"/>
        <v>1.1571884685160279E-2</v>
      </c>
      <c r="H89" s="2">
        <f>IF(Calculator!$E$11='GWP reference values'!$C$6,G89*'GWP reference values'!$D$6/1000,IF(Calculator!$E$11='GWP reference values'!$C$7,G89*'GWP reference values'!$D$7/1000,IF(Calculator!$E$11='GWP reference values'!$C$8,G89*'GWP reference values'!$D$8/1000,"Error")))</f>
        <v>3.2401277118448778E-4</v>
      </c>
      <c r="I89" s="2">
        <f t="shared" si="13"/>
        <v>40.368490679437855</v>
      </c>
      <c r="J89" s="3">
        <f t="shared" si="14"/>
        <v>95</v>
      </c>
    </row>
    <row r="90" spans="2:10" x14ac:dyDescent="0.25">
      <c r="C90" s="3">
        <v>96</v>
      </c>
      <c r="D90" s="3">
        <f t="shared" si="10"/>
        <v>11.143599999999999</v>
      </c>
      <c r="E90" s="3">
        <f t="shared" si="11"/>
        <v>40.859866666666669</v>
      </c>
      <c r="F90" s="2">
        <f>(0.334*0.5^((C90+5)/6.31))*'EF Adjustment Table'!I$18</f>
        <v>7.7760410882008617E-6</v>
      </c>
      <c r="G90" s="8">
        <f t="shared" si="12"/>
        <v>1.0368054784267815E-2</v>
      </c>
      <c r="H90" s="2">
        <f>IF(Calculator!$E$11='GWP reference values'!$C$6,G90*'GWP reference values'!$D$6/1000,IF(Calculator!$E$11='GWP reference values'!$C$7,G90*'GWP reference values'!$D$7/1000,IF(Calculator!$E$11='GWP reference values'!$C$8,G90*'GWP reference values'!$D$8/1000,"Error")))</f>
        <v>2.9030553395949883E-4</v>
      </c>
      <c r="I90" s="2">
        <f t="shared" si="13"/>
        <v>40.860156972200627</v>
      </c>
      <c r="J90" s="3">
        <f t="shared" si="14"/>
        <v>96</v>
      </c>
    </row>
    <row r="91" spans="2:10" x14ac:dyDescent="0.25">
      <c r="C91" s="3">
        <v>97</v>
      </c>
      <c r="D91" s="3">
        <f t="shared" ref="D91:D93" si="15">0.1341*C91-1.73</f>
        <v>11.277699999999999</v>
      </c>
      <c r="E91" s="3">
        <f t="shared" ref="E91:E93" si="16">D91/12*44</f>
        <v>41.351566666666663</v>
      </c>
      <c r="F91" s="2">
        <f>(0.334*0.5^((C91+5)/6.31))*'EF Adjustment Table'!I$18</f>
        <v>6.9670950066218421E-6</v>
      </c>
      <c r="G91" s="8">
        <f t="shared" ref="G91:G93" si="17">F91*1000*16/12</f>
        <v>9.2894600088291226E-3</v>
      </c>
      <c r="H91" s="2">
        <f>IF(Calculator!$E$11='GWP reference values'!$C$6,G91*'GWP reference values'!$D$6/1000,IF(Calculator!$E$11='GWP reference values'!$C$7,G91*'GWP reference values'!$D$7/1000,IF(Calculator!$E$11='GWP reference values'!$C$8,G91*'GWP reference values'!$D$8/1000,"Error")))</f>
        <v>2.6010488024721544E-4</v>
      </c>
      <c r="I91" s="2">
        <f t="shared" si="13"/>
        <v>41.351826771546911</v>
      </c>
      <c r="J91" s="3">
        <f t="shared" si="14"/>
        <v>97</v>
      </c>
    </row>
    <row r="92" spans="2:10" x14ac:dyDescent="0.25">
      <c r="C92" s="3">
        <v>98</v>
      </c>
      <c r="D92" s="3">
        <f t="shared" si="15"/>
        <v>11.411799999999999</v>
      </c>
      <c r="E92" s="3">
        <f t="shared" si="16"/>
        <v>41.843266666666665</v>
      </c>
      <c r="F92" s="2">
        <f>(0.334*0.5^((C92+5)/6.31))*'EF Adjustment Table'!I$18</f>
        <v>6.2423040568739921E-6</v>
      </c>
      <c r="G92" s="8">
        <f t="shared" si="17"/>
        <v>8.3230720758319891E-3</v>
      </c>
      <c r="H92" s="2">
        <f>IF(Calculator!$E$11='GWP reference values'!$C$6,G92*'GWP reference values'!$D$6/1000,IF(Calculator!$E$11='GWP reference values'!$C$7,G92*'GWP reference values'!$D$7/1000,IF(Calculator!$E$11='GWP reference values'!$C$8,G92*'GWP reference values'!$D$8/1000,"Error")))</f>
        <v>2.3304601812329569E-4</v>
      </c>
      <c r="I92" s="2">
        <f t="shared" si="13"/>
        <v>41.843499712684789</v>
      </c>
      <c r="J92" s="3">
        <f t="shared" si="14"/>
        <v>98</v>
      </c>
    </row>
    <row r="93" spans="2:10" x14ac:dyDescent="0.25">
      <c r="C93" s="3">
        <v>99</v>
      </c>
      <c r="D93" s="3">
        <f t="shared" si="15"/>
        <v>11.5459</v>
      </c>
      <c r="E93" s="3">
        <f t="shared" si="16"/>
        <v>42.334966666666666</v>
      </c>
      <c r="F93" s="2">
        <f>(0.334*0.5^((C93+5)/6.31))*'EF Adjustment Table'!I$18</f>
        <v>5.5929135315981919E-6</v>
      </c>
      <c r="G93" s="8">
        <f t="shared" si="17"/>
        <v>7.4572180421309227E-3</v>
      </c>
      <c r="H93" s="2">
        <f>IF(Calculator!$E$11='GWP reference values'!$C$6,G93*'GWP reference values'!$D$6/1000,IF(Calculator!$E$11='GWP reference values'!$C$7,G93*'GWP reference values'!$D$7/1000,IF(Calculator!$E$11='GWP reference values'!$C$8,G93*'GWP reference values'!$D$8/1000,"Error")))</f>
        <v>2.0880210517966582E-4</v>
      </c>
      <c r="I93" s="2">
        <f t="shared" si="13"/>
        <v>42.335175468771844</v>
      </c>
      <c r="J93" s="3">
        <f t="shared" si="14"/>
        <v>99</v>
      </c>
    </row>
    <row r="94" spans="2:10" x14ac:dyDescent="0.25">
      <c r="B94" s="4"/>
      <c r="C94" s="14">
        <v>100</v>
      </c>
      <c r="D94" s="14">
        <f t="shared" si="0"/>
        <v>11.68</v>
      </c>
      <c r="E94" s="14">
        <f t="shared" si="1"/>
        <v>42.826666666666661</v>
      </c>
      <c r="F94" s="15">
        <f>(0.334*0.5^((C94+5)/6.31))*'EF Adjustment Table'!I$18</f>
        <v>5.0110794807388527E-6</v>
      </c>
      <c r="G94" s="16">
        <f t="shared" si="2"/>
        <v>6.6814393076518042E-3</v>
      </c>
      <c r="H94" s="15">
        <f>IF(Calculator!$E$11='GWP reference values'!$C$6,G94*'GWP reference values'!$D$6/1000,IF(Calculator!$E$11='GWP reference values'!$C$7,G94*'GWP reference values'!$D$7/1000,IF(Calculator!$E$11='GWP reference values'!$C$8,G94*'GWP reference values'!$D$8/1000,"Error")))</f>
        <v>1.8708030061425051E-4</v>
      </c>
      <c r="I94" s="15">
        <f t="shared" si="13"/>
        <v>42.826853746967274</v>
      </c>
      <c r="J94" s="14">
        <f t="shared" si="14"/>
        <v>100</v>
      </c>
    </row>
    <row r="96" spans="2:10" x14ac:dyDescent="0.25">
      <c r="B96" t="s">
        <v>262</v>
      </c>
    </row>
  </sheetData>
  <pageMargins left="0.7" right="0.7" top="0.75" bottom="0.75" header="0.3" footer="0.3"/>
  <pageSetup paperSize="9" orientation="portrait" horizontalDpi="360" verticalDpi="36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J97"/>
  <sheetViews>
    <sheetView workbookViewId="0">
      <selection activeCell="F8" sqref="F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266</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Table'!$D$19</f>
        <v>43.142837773710255</v>
      </c>
      <c r="D7" s="10">
        <f>0.1341*C7-1.73</f>
        <v>4.0554545454545448</v>
      </c>
      <c r="E7" s="10">
        <f>D7/12*44</f>
        <v>14.869999999999997</v>
      </c>
      <c r="F7" s="11">
        <f>(0.334*0.5^((C7+5)/6.31))*'EF Adjustment Table'!I$19</f>
        <v>2.5846714634939682E-3</v>
      </c>
      <c r="G7" s="12">
        <f>F7*1000*16/12</f>
        <v>3.4462286179919577</v>
      </c>
      <c r="H7" s="2">
        <f>IF(Calculator!$E$11='GWP reference values'!$C$6,G7*'GWP reference values'!$D$6/1000,IF(Calculator!$E$11='GWP reference values'!$C$7,G7*'GWP reference values'!$D$7/1000,IF(Calculator!$E$11='GWP reference values'!$C$8,G7*'GWP reference values'!$D$8/1000,"Error")))</f>
        <v>9.6494401303774818E-2</v>
      </c>
      <c r="I7" s="2">
        <f>SUM(H7,E7)</f>
        <v>14.966494401303772</v>
      </c>
      <c r="J7" s="3">
        <f>C7</f>
        <v>43.142837773710255</v>
      </c>
    </row>
    <row r="8" spans="2:10" x14ac:dyDescent="0.25">
      <c r="B8" s="1" t="s">
        <v>249</v>
      </c>
      <c r="C8" s="3">
        <v>14</v>
      </c>
      <c r="D8" s="3">
        <f t="shared" ref="D8:D94" si="0">0.1341*C8-1.73</f>
        <v>0.14739999999999998</v>
      </c>
      <c r="E8" s="3">
        <f t="shared" ref="E8:E94" si="1">D8/12*44</f>
        <v>0.54046666666666665</v>
      </c>
      <c r="F8" s="2">
        <f>(0.334*0.5^((C8+5)/6.31))*'EF Adjustment Table'!I$19</f>
        <v>6.3491748302507034E-2</v>
      </c>
      <c r="G8" s="17">
        <f t="shared" ref="G8:G94" si="2">F8*1000*16/12</f>
        <v>84.655664403342712</v>
      </c>
      <c r="H8" s="66">
        <f>IF(Calculator!$E$11='GWP reference values'!$C$6,G8*'GWP reference values'!$D$6/1000,IF(Calculator!$E$11='GWP reference values'!$C$7,G8*'GWP reference values'!$D$7/1000,IF(Calculator!$E$11='GWP reference values'!$C$8,G8*'GWP reference values'!$D$8/1000,"Error")))</f>
        <v>2.3703586032935959</v>
      </c>
      <c r="I8" s="66">
        <f>SUM(H8,E8)</f>
        <v>2.9108252699602626</v>
      </c>
      <c r="J8" s="67">
        <f>C8</f>
        <v>14</v>
      </c>
    </row>
    <row r="9" spans="2:10" x14ac:dyDescent="0.25">
      <c r="C9" s="3">
        <v>15</v>
      </c>
      <c r="D9" s="3">
        <f t="shared" si="0"/>
        <v>0.28149999999999986</v>
      </c>
      <c r="E9" s="3">
        <f t="shared" si="1"/>
        <v>1.032166666666666</v>
      </c>
      <c r="F9" s="2">
        <f>(0.334*0.5^((C9+5)/6.31))*'EF Adjustment Table'!I$19</f>
        <v>5.6886664762008758E-2</v>
      </c>
      <c r="G9" s="17">
        <f t="shared" si="2"/>
        <v>75.848886349345008</v>
      </c>
      <c r="H9" s="2">
        <f>IF(Calculator!$E$11='GWP reference values'!$C$6,G9*'GWP reference values'!$D$6/1000,IF(Calculator!$E$11='GWP reference values'!$C$7,G9*'GWP reference values'!$D$7/1000,IF(Calculator!$E$11='GWP reference values'!$C$8,G9*'GWP reference values'!$D$8/1000,"Error")))</f>
        <v>2.1237688177816603</v>
      </c>
      <c r="I9" s="2">
        <f t="shared" ref="I9:I11" si="3">SUM(H9,E9)</f>
        <v>3.1559354844483263</v>
      </c>
      <c r="J9" s="3">
        <f t="shared" ref="J9:J11" si="4">C9</f>
        <v>15</v>
      </c>
    </row>
    <row r="10" spans="2:10" x14ac:dyDescent="0.25">
      <c r="C10" s="3">
        <v>16</v>
      </c>
      <c r="D10" s="3">
        <f t="shared" si="0"/>
        <v>0.41559999999999997</v>
      </c>
      <c r="E10" s="3">
        <f t="shared" si="1"/>
        <v>1.5238666666666665</v>
      </c>
      <c r="F10" s="2">
        <f>(0.334*0.5^((C10+5)/6.31))*'EF Adjustment Table'!I$19</f>
        <v>5.0968711907676163E-2</v>
      </c>
      <c r="G10" s="17">
        <f t="shared" si="2"/>
        <v>67.958282543568217</v>
      </c>
      <c r="H10" s="2">
        <f>IF(Calculator!$E$11='GWP reference values'!$C$6,G10*'GWP reference values'!$D$6/1000,IF(Calculator!$E$11='GWP reference values'!$C$7,G10*'GWP reference values'!$D$7/1000,IF(Calculator!$E$11='GWP reference values'!$C$8,G10*'GWP reference values'!$D$8/1000,"Error")))</f>
        <v>1.9028319112199101</v>
      </c>
      <c r="I10" s="2">
        <f t="shared" si="3"/>
        <v>3.4266985778865768</v>
      </c>
      <c r="J10" s="3">
        <f t="shared" si="4"/>
        <v>16</v>
      </c>
    </row>
    <row r="11" spans="2:10" x14ac:dyDescent="0.25">
      <c r="C11" s="3">
        <v>17</v>
      </c>
      <c r="D11" s="3">
        <f t="shared" si="0"/>
        <v>0.54970000000000008</v>
      </c>
      <c r="E11" s="3">
        <f t="shared" si="1"/>
        <v>2.015566666666667</v>
      </c>
      <c r="F11" s="2">
        <f>(0.334*0.5^((C11+5)/6.31))*'EF Adjustment Table'!I$19</f>
        <v>4.5666407134183275E-2</v>
      </c>
      <c r="G11" s="17">
        <f t="shared" si="2"/>
        <v>60.888542845577696</v>
      </c>
      <c r="H11" s="2">
        <f>IF(Calculator!$E$11='GWP reference values'!$C$6,G11*'GWP reference values'!$D$6/1000,IF(Calculator!$E$11='GWP reference values'!$C$7,G11*'GWP reference values'!$D$7/1000,IF(Calculator!$E$11='GWP reference values'!$C$8,G11*'GWP reference values'!$D$8/1000,"Error")))</f>
        <v>1.7048791996761754</v>
      </c>
      <c r="I11" s="2">
        <f t="shared" si="3"/>
        <v>3.7204458663428426</v>
      </c>
      <c r="J11" s="3">
        <f t="shared" si="4"/>
        <v>17</v>
      </c>
    </row>
    <row r="12" spans="2:10" x14ac:dyDescent="0.25">
      <c r="C12" s="3">
        <v>18</v>
      </c>
      <c r="D12" s="3">
        <f t="shared" si="0"/>
        <v>0.68380000000000019</v>
      </c>
      <c r="E12" s="3">
        <f t="shared" si="1"/>
        <v>2.5072666666666676</v>
      </c>
      <c r="F12" s="2">
        <f>(0.334*0.5^((C12+5)/6.31))*'EF Adjustment Table'!I$19</f>
        <v>4.0915704213253044E-2</v>
      </c>
      <c r="G12" s="17">
        <f t="shared" si="2"/>
        <v>54.554272284337394</v>
      </c>
      <c r="H12" s="2">
        <f>IF(Calculator!$E$11='GWP reference values'!$C$6,G12*'GWP reference values'!$D$6/1000,IF(Calculator!$E$11='GWP reference values'!$C$7,G12*'GWP reference values'!$D$7/1000,IF(Calculator!$E$11='GWP reference values'!$C$8,G12*'GWP reference values'!$D$8/1000,"Error")))</f>
        <v>1.527519623961447</v>
      </c>
      <c r="I12" s="2">
        <f t="shared" ref="I12:I74" si="5">SUM(H12,E12)</f>
        <v>4.0347862906281149</v>
      </c>
      <c r="J12" s="3">
        <f t="shared" ref="J12:J74" si="6">C12</f>
        <v>18</v>
      </c>
    </row>
    <row r="13" spans="2:10" x14ac:dyDescent="0.25">
      <c r="C13" s="3">
        <v>19</v>
      </c>
      <c r="D13" s="3">
        <f t="shared" si="0"/>
        <v>0.81789999999999985</v>
      </c>
      <c r="E13" s="3">
        <f t="shared" si="1"/>
        <v>2.9989666666666661</v>
      </c>
      <c r="F13" s="2">
        <f>(0.334*0.5^((C13+5)/6.31))*'EF Adjustment Table'!I$19</f>
        <v>3.6659219683023422E-2</v>
      </c>
      <c r="G13" s="17">
        <f t="shared" si="2"/>
        <v>48.878959577364562</v>
      </c>
      <c r="H13" s="2">
        <f>IF(Calculator!$E$11='GWP reference values'!$C$6,G13*'GWP reference values'!$D$6/1000,IF(Calculator!$E$11='GWP reference values'!$C$7,G13*'GWP reference values'!$D$7/1000,IF(Calculator!$E$11='GWP reference values'!$C$8,G13*'GWP reference values'!$D$8/1000,"Error")))</f>
        <v>1.3686108681662077</v>
      </c>
      <c r="I13" s="2">
        <f t="shared" si="5"/>
        <v>4.3675775348328738</v>
      </c>
      <c r="J13" s="3">
        <f t="shared" si="6"/>
        <v>19</v>
      </c>
    </row>
    <row r="14" spans="2:10" x14ac:dyDescent="0.25">
      <c r="C14" s="3">
        <v>20</v>
      </c>
      <c r="D14" s="3">
        <f t="shared" si="0"/>
        <v>0.95199999999999996</v>
      </c>
      <c r="E14" s="3">
        <f t="shared" si="1"/>
        <v>3.4906666666666664</v>
      </c>
      <c r="F14" s="2">
        <f>(0.334*0.5^((C14+5)/6.31))*'EF Adjustment Table'!I$19</f>
        <v>3.2845539716578276E-2</v>
      </c>
      <c r="G14" s="17">
        <f t="shared" si="2"/>
        <v>43.794052955437699</v>
      </c>
      <c r="H14" s="2">
        <f>IF(Calculator!$E$11='GWP reference values'!$C$6,G14*'GWP reference values'!$D$6/1000,IF(Calculator!$E$11='GWP reference values'!$C$7,G14*'GWP reference values'!$D$7/1000,IF(Calculator!$E$11='GWP reference values'!$C$8,G14*'GWP reference values'!$D$8/1000,"Error")))</f>
        <v>1.2262334827522556</v>
      </c>
      <c r="I14" s="2">
        <f t="shared" si="5"/>
        <v>4.7169001494189224</v>
      </c>
      <c r="J14" s="3">
        <f t="shared" si="6"/>
        <v>20</v>
      </c>
    </row>
    <row r="15" spans="2:10" x14ac:dyDescent="0.25">
      <c r="C15" s="3">
        <v>21</v>
      </c>
      <c r="D15" s="3">
        <f t="shared" si="0"/>
        <v>1.0861000000000001</v>
      </c>
      <c r="E15" s="3">
        <f t="shared" si="1"/>
        <v>3.9823666666666671</v>
      </c>
      <c r="F15" s="2">
        <f>(0.334*0.5^((C15+5)/6.31))*'EF Adjustment Table'!I$19</f>
        <v>2.9428599097348428E-2</v>
      </c>
      <c r="G15" s="17">
        <f t="shared" si="2"/>
        <v>39.238132129797904</v>
      </c>
      <c r="H15" s="2">
        <f>IF(Calculator!$E$11='GWP reference values'!$C$6,G15*'GWP reference values'!$D$6/1000,IF(Calculator!$E$11='GWP reference values'!$C$7,G15*'GWP reference values'!$D$7/1000,IF(Calculator!$E$11='GWP reference values'!$C$8,G15*'GWP reference values'!$D$8/1000,"Error")))</f>
        <v>1.0986676996343412</v>
      </c>
      <c r="I15" s="2">
        <f t="shared" si="5"/>
        <v>5.081034366301008</v>
      </c>
      <c r="J15" s="3">
        <f t="shared" si="6"/>
        <v>21</v>
      </c>
    </row>
    <row r="16" spans="2:10" x14ac:dyDescent="0.25">
      <c r="C16" s="3">
        <v>22</v>
      </c>
      <c r="D16" s="3">
        <f t="shared" si="0"/>
        <v>1.2201999999999997</v>
      </c>
      <c r="E16" s="3">
        <f t="shared" si="1"/>
        <v>4.4740666666666655</v>
      </c>
      <c r="F16" s="2">
        <f>(0.334*0.5^((C16+5)/6.31))*'EF Adjustment Table'!I$19</f>
        <v>2.6367124800063344E-2</v>
      </c>
      <c r="G16" s="17">
        <f t="shared" si="2"/>
        <v>35.156166400084459</v>
      </c>
      <c r="H16" s="2">
        <f>IF(Calculator!$E$11='GWP reference values'!$C$6,G16*'GWP reference values'!$D$6/1000,IF(Calculator!$E$11='GWP reference values'!$C$7,G16*'GWP reference values'!$D$7/1000,IF(Calculator!$E$11='GWP reference values'!$C$8,G16*'GWP reference values'!$D$8/1000,"Error")))</f>
        <v>0.98437265920236483</v>
      </c>
      <c r="I16" s="2">
        <f t="shared" si="5"/>
        <v>5.4584393258690307</v>
      </c>
      <c r="J16" s="3">
        <f t="shared" si="6"/>
        <v>22</v>
      </c>
    </row>
    <row r="17" spans="3:10" x14ac:dyDescent="0.25">
      <c r="C17" s="3">
        <v>23</v>
      </c>
      <c r="D17" s="3">
        <f t="shared" si="0"/>
        <v>1.3542999999999998</v>
      </c>
      <c r="E17" s="3">
        <f t="shared" si="1"/>
        <v>4.9657666666666662</v>
      </c>
      <c r="F17" s="2">
        <f>(0.334*0.5^((C17+5)/6.31))*'EF Adjustment Table'!I$19</f>
        <v>2.3624137456300348E-2</v>
      </c>
      <c r="G17" s="17">
        <f t="shared" si="2"/>
        <v>31.498849941733798</v>
      </c>
      <c r="H17" s="2">
        <f>IF(Calculator!$E$11='GWP reference values'!$C$6,G17*'GWP reference values'!$D$6/1000,IF(Calculator!$E$11='GWP reference values'!$C$7,G17*'GWP reference values'!$D$7/1000,IF(Calculator!$E$11='GWP reference values'!$C$8,G17*'GWP reference values'!$D$8/1000,"Error")))</f>
        <v>0.88196779836854633</v>
      </c>
      <c r="I17" s="2">
        <f t="shared" si="5"/>
        <v>5.847734465035213</v>
      </c>
      <c r="J17" s="3">
        <f t="shared" si="6"/>
        <v>23</v>
      </c>
    </row>
    <row r="18" spans="3:10" x14ac:dyDescent="0.25">
      <c r="C18" s="3">
        <v>24</v>
      </c>
      <c r="D18" s="3">
        <f t="shared" si="0"/>
        <v>1.4883999999999999</v>
      </c>
      <c r="E18" s="3">
        <f t="shared" si="1"/>
        <v>5.4574666666666669</v>
      </c>
      <c r="F18" s="2">
        <f>(0.334*0.5^((C18+5)/6.31))*'EF Adjustment Table'!I$19</f>
        <v>2.116650468286297E-2</v>
      </c>
      <c r="G18" s="17">
        <f t="shared" si="2"/>
        <v>28.222006243817294</v>
      </c>
      <c r="H18" s="2">
        <f>IF(Calculator!$E$11='GWP reference values'!$C$6,G18*'GWP reference values'!$D$6/1000,IF(Calculator!$E$11='GWP reference values'!$C$7,G18*'GWP reference values'!$D$7/1000,IF(Calculator!$E$11='GWP reference values'!$C$8,G18*'GWP reference values'!$D$8/1000,"Error")))</f>
        <v>0.79021617482688422</v>
      </c>
      <c r="I18" s="2">
        <f t="shared" si="5"/>
        <v>6.2476828414935515</v>
      </c>
      <c r="J18" s="3">
        <f t="shared" si="6"/>
        <v>24</v>
      </c>
    </row>
    <row r="19" spans="3:10" x14ac:dyDescent="0.25">
      <c r="C19" s="3">
        <v>25</v>
      </c>
      <c r="D19" s="3">
        <f t="shared" si="0"/>
        <v>1.6225000000000001</v>
      </c>
      <c r="E19" s="3">
        <f t="shared" si="1"/>
        <v>5.9491666666666676</v>
      </c>
      <c r="F19" s="2">
        <f>(0.334*0.5^((C19+5)/6.31))*'EF Adjustment Table'!I$19</f>
        <v>1.8964540877668183E-2</v>
      </c>
      <c r="G19" s="17">
        <f t="shared" si="2"/>
        <v>25.28605450355758</v>
      </c>
      <c r="H19" s="2">
        <f>IF(Calculator!$E$11='GWP reference values'!$C$6,G19*'GWP reference values'!$D$6/1000,IF(Calculator!$E$11='GWP reference values'!$C$7,G19*'GWP reference values'!$D$7/1000,IF(Calculator!$E$11='GWP reference values'!$C$8,G19*'GWP reference values'!$D$8/1000,"Error")))</f>
        <v>0.70800952609961221</v>
      </c>
      <c r="I19" s="2">
        <f t="shared" si="5"/>
        <v>6.65717619276628</v>
      </c>
      <c r="J19" s="3">
        <f t="shared" si="6"/>
        <v>25</v>
      </c>
    </row>
    <row r="20" spans="3:10" x14ac:dyDescent="0.25">
      <c r="C20" s="3">
        <v>26</v>
      </c>
      <c r="D20" s="3">
        <f t="shared" si="0"/>
        <v>1.7566000000000002</v>
      </c>
      <c r="E20" s="3">
        <f t="shared" si="1"/>
        <v>6.4408666666666665</v>
      </c>
      <c r="F20" s="2">
        <f>(0.334*0.5^((C20+5)/6.31))*'EF Adjustment Table'!I$19</f>
        <v>1.6991648649100459E-2</v>
      </c>
      <c r="G20" s="17">
        <f t="shared" si="2"/>
        <v>22.655531532133946</v>
      </c>
      <c r="H20" s="2">
        <f>IF(Calculator!$E$11='GWP reference values'!$C$6,G20*'GWP reference values'!$D$6/1000,IF(Calculator!$E$11='GWP reference values'!$C$7,G20*'GWP reference values'!$D$7/1000,IF(Calculator!$E$11='GWP reference values'!$C$8,G20*'GWP reference values'!$D$8/1000,"Error")))</f>
        <v>0.63435488289975051</v>
      </c>
      <c r="I20" s="2">
        <f t="shared" si="5"/>
        <v>7.0752215495664172</v>
      </c>
      <c r="J20" s="3">
        <f t="shared" si="6"/>
        <v>26</v>
      </c>
    </row>
    <row r="21" spans="3:10" x14ac:dyDescent="0.25">
      <c r="C21" s="3">
        <v>27</v>
      </c>
      <c r="D21" s="3">
        <f t="shared" si="0"/>
        <v>1.8906999999999998</v>
      </c>
      <c r="E21" s="3">
        <f t="shared" si="1"/>
        <v>6.9325666666666663</v>
      </c>
      <c r="F21" s="2">
        <f>(0.334*0.5^((C21+5)/6.31))*'EF Adjustment Table'!I$19</f>
        <v>1.5223997547678957E-2</v>
      </c>
      <c r="G21" s="17">
        <f t="shared" si="2"/>
        <v>20.298663396905276</v>
      </c>
      <c r="H21" s="2">
        <f>IF(Calculator!$E$11='GWP reference values'!$C$6,G21*'GWP reference values'!$D$6/1000,IF(Calculator!$E$11='GWP reference values'!$C$7,G21*'GWP reference values'!$D$7/1000,IF(Calculator!$E$11='GWP reference values'!$C$8,G21*'GWP reference values'!$D$8/1000,"Error")))</f>
        <v>0.56836257511334776</v>
      </c>
      <c r="I21" s="2">
        <f t="shared" si="5"/>
        <v>7.500929241780014</v>
      </c>
      <c r="J21" s="3">
        <f t="shared" si="6"/>
        <v>27</v>
      </c>
    </row>
    <row r="22" spans="3:10" x14ac:dyDescent="0.25">
      <c r="C22" s="3">
        <v>28</v>
      </c>
      <c r="D22" s="3">
        <f t="shared" si="0"/>
        <v>2.0247999999999999</v>
      </c>
      <c r="E22" s="3">
        <f t="shared" si="1"/>
        <v>7.4242666666666661</v>
      </c>
      <c r="F22" s="2">
        <f>(0.334*0.5^((C22+5)/6.31))*'EF Adjustment Table'!I$19</f>
        <v>1.3640236219456248E-2</v>
      </c>
      <c r="G22" s="17">
        <f t="shared" si="2"/>
        <v>18.186981625941666</v>
      </c>
      <c r="H22" s="2">
        <f>IF(Calculator!$E$11='GWP reference values'!$C$6,G22*'GWP reference values'!$D$6/1000,IF(Calculator!$E$11='GWP reference values'!$C$7,G22*'GWP reference values'!$D$7/1000,IF(Calculator!$E$11='GWP reference values'!$C$8,G22*'GWP reference values'!$D$8/1000,"Error")))</f>
        <v>0.50923548552636666</v>
      </c>
      <c r="I22" s="2">
        <f t="shared" si="5"/>
        <v>7.9335021521930331</v>
      </c>
      <c r="J22" s="3">
        <f t="shared" si="6"/>
        <v>28</v>
      </c>
    </row>
    <row r="23" spans="3:10" x14ac:dyDescent="0.25">
      <c r="C23" s="3">
        <v>29</v>
      </c>
      <c r="D23" s="3">
        <f t="shared" si="0"/>
        <v>2.1589</v>
      </c>
      <c r="E23" s="3">
        <f t="shared" si="1"/>
        <v>7.9159666666666668</v>
      </c>
      <c r="F23" s="2">
        <f>(0.334*0.5^((C23+5)/6.31))*'EF Adjustment Table'!I$19</f>
        <v>1.2221234504266723E-2</v>
      </c>
      <c r="G23" s="17">
        <f t="shared" si="2"/>
        <v>16.294979339022298</v>
      </c>
      <c r="H23" s="2">
        <f>IF(Calculator!$E$11='GWP reference values'!$C$6,G23*'GWP reference values'!$D$6/1000,IF(Calculator!$E$11='GWP reference values'!$C$7,G23*'GWP reference values'!$D$7/1000,IF(Calculator!$E$11='GWP reference values'!$C$8,G23*'GWP reference values'!$D$8/1000,"Error")))</f>
        <v>0.45625942149262438</v>
      </c>
      <c r="I23" s="2">
        <f t="shared" si="5"/>
        <v>8.3722260881592909</v>
      </c>
      <c r="J23" s="3">
        <f t="shared" si="6"/>
        <v>29</v>
      </c>
    </row>
    <row r="24" spans="3:10" x14ac:dyDescent="0.25">
      <c r="C24" s="3">
        <v>30</v>
      </c>
      <c r="D24" s="3">
        <f t="shared" si="0"/>
        <v>2.2929999999999997</v>
      </c>
      <c r="E24" s="3">
        <f t="shared" si="1"/>
        <v>8.4076666666666657</v>
      </c>
      <c r="F24" s="2">
        <f>(0.334*0.5^((C24+5)/6.31))*'EF Adjustment Table'!I$19</f>
        <v>1.0949852363644293E-2</v>
      </c>
      <c r="G24" s="8">
        <f t="shared" si="2"/>
        <v>14.599803151525725</v>
      </c>
      <c r="H24" s="2">
        <f>IF(Calculator!$E$11='GWP reference values'!$C$6,G24*'GWP reference values'!$D$6/1000,IF(Calculator!$E$11='GWP reference values'!$C$7,G24*'GWP reference values'!$D$7/1000,IF(Calculator!$E$11='GWP reference values'!$C$8,G24*'GWP reference values'!$D$8/1000,"Error")))</f>
        <v>0.4087944882427203</v>
      </c>
      <c r="I24" s="2">
        <f t="shared" si="5"/>
        <v>8.8164611549093852</v>
      </c>
      <c r="J24" s="3">
        <f t="shared" si="6"/>
        <v>30</v>
      </c>
    </row>
    <row r="25" spans="3:10" x14ac:dyDescent="0.25">
      <c r="C25" s="3">
        <v>31</v>
      </c>
      <c r="D25" s="3">
        <f t="shared" si="0"/>
        <v>2.4270999999999998</v>
      </c>
      <c r="E25" s="3">
        <f t="shared" si="1"/>
        <v>8.8993666666666655</v>
      </c>
      <c r="F25" s="2">
        <f>(0.334*0.5^((C25+5)/6.31))*'EF Adjustment Table'!I$19</f>
        <v>9.8107328473033429E-3</v>
      </c>
      <c r="G25" s="8">
        <f t="shared" si="2"/>
        <v>13.080977129737791</v>
      </c>
      <c r="H25" s="2">
        <f>IF(Calculator!$E$11='GWP reference values'!$C$6,G25*'GWP reference values'!$D$6/1000,IF(Calculator!$E$11='GWP reference values'!$C$7,G25*'GWP reference values'!$D$7/1000,IF(Calculator!$E$11='GWP reference values'!$C$8,G25*'GWP reference values'!$D$8/1000,"Error")))</f>
        <v>0.36626735963265816</v>
      </c>
      <c r="I25" s="2">
        <f t="shared" si="5"/>
        <v>9.265634026299324</v>
      </c>
      <c r="J25" s="3">
        <f t="shared" si="6"/>
        <v>31</v>
      </c>
    </row>
    <row r="26" spans="3:10" x14ac:dyDescent="0.25">
      <c r="C26" s="3">
        <v>32</v>
      </c>
      <c r="D26" s="3">
        <f t="shared" si="0"/>
        <v>2.5611999999999999</v>
      </c>
      <c r="E26" s="3">
        <f t="shared" si="1"/>
        <v>9.3910666666666671</v>
      </c>
      <c r="F26" s="2">
        <f>(0.334*0.5^((C26+5)/6.31))*'EF Adjustment Table'!I$19</f>
        <v>8.7901165974372097E-3</v>
      </c>
      <c r="G26" s="8">
        <f t="shared" si="2"/>
        <v>11.720155463249613</v>
      </c>
      <c r="H26" s="2">
        <f>IF(Calculator!$E$11='GWP reference values'!$C$6,G26*'GWP reference values'!$D$6/1000,IF(Calculator!$E$11='GWP reference values'!$C$7,G26*'GWP reference values'!$D$7/1000,IF(Calculator!$E$11='GWP reference values'!$C$8,G26*'GWP reference values'!$D$8/1000,"Error")))</f>
        <v>0.32816435297098917</v>
      </c>
      <c r="I26" s="2">
        <f t="shared" si="5"/>
        <v>9.7192310196376557</v>
      </c>
      <c r="J26" s="3">
        <f t="shared" si="6"/>
        <v>32</v>
      </c>
    </row>
    <row r="27" spans="3:10" x14ac:dyDescent="0.25">
      <c r="C27" s="3">
        <v>33</v>
      </c>
      <c r="D27" s="3">
        <f t="shared" si="0"/>
        <v>2.6953</v>
      </c>
      <c r="E27" s="3">
        <f t="shared" si="1"/>
        <v>9.8827666666666669</v>
      </c>
      <c r="F27" s="2">
        <f>(0.334*0.5^((C27+5)/6.31))*'EF Adjustment Table'!I$19</f>
        <v>7.8756756502424922E-3</v>
      </c>
      <c r="G27" s="8">
        <f t="shared" si="2"/>
        <v>10.500900866989989</v>
      </c>
      <c r="H27" s="2">
        <f>IF(Calculator!$E$11='GWP reference values'!$C$6,G27*'GWP reference values'!$D$6/1000,IF(Calculator!$E$11='GWP reference values'!$C$7,G27*'GWP reference values'!$D$7/1000,IF(Calculator!$E$11='GWP reference values'!$C$8,G27*'GWP reference values'!$D$8/1000,"Error")))</f>
        <v>0.29402522427571964</v>
      </c>
      <c r="I27" s="2">
        <f t="shared" si="5"/>
        <v>10.176791890942386</v>
      </c>
      <c r="J27" s="3">
        <f t="shared" si="6"/>
        <v>33</v>
      </c>
    </row>
    <row r="28" spans="3:10" x14ac:dyDescent="0.25">
      <c r="C28" s="3">
        <v>34</v>
      </c>
      <c r="D28" s="3">
        <f t="shared" si="0"/>
        <v>2.8294000000000001</v>
      </c>
      <c r="E28" s="3">
        <f t="shared" si="1"/>
        <v>10.374466666666667</v>
      </c>
      <c r="F28" s="2">
        <f>(0.334*0.5^((C28+5)/6.31))*'EF Adjustment Table'!I$19</f>
        <v>7.0563645271675274E-3</v>
      </c>
      <c r="G28" s="8">
        <f t="shared" si="2"/>
        <v>9.4084860362233709</v>
      </c>
      <c r="H28" s="2">
        <f>IF(Calculator!$E$11='GWP reference values'!$C$6,G28*'GWP reference values'!$D$6/1000,IF(Calculator!$E$11='GWP reference values'!$C$7,G28*'GWP reference values'!$D$7/1000,IF(Calculator!$E$11='GWP reference values'!$C$8,G28*'GWP reference values'!$D$8/1000,"Error")))</f>
        <v>0.26343760901425439</v>
      </c>
      <c r="I28" s="2">
        <f t="shared" si="5"/>
        <v>10.637904275680921</v>
      </c>
      <c r="J28" s="3">
        <f t="shared" si="6"/>
        <v>34</v>
      </c>
    </row>
    <row r="29" spans="3:10" x14ac:dyDescent="0.25">
      <c r="C29" s="3">
        <v>35</v>
      </c>
      <c r="D29" s="3">
        <f t="shared" si="0"/>
        <v>2.9635000000000002</v>
      </c>
      <c r="E29" s="3">
        <f t="shared" si="1"/>
        <v>10.866166666666668</v>
      </c>
      <c r="F29" s="2">
        <f>(0.334*0.5^((C29+5)/6.31))*'EF Adjustment Table'!I$19</f>
        <v>6.3222868172250271E-3</v>
      </c>
      <c r="G29" s="8">
        <f t="shared" si="2"/>
        <v>8.4297157563000358</v>
      </c>
      <c r="H29" s="2">
        <f>IF(Calculator!$E$11='GWP reference values'!$C$6,G29*'GWP reference values'!$D$6/1000,IF(Calculator!$E$11='GWP reference values'!$C$7,G29*'GWP reference values'!$D$7/1000,IF(Calculator!$E$11='GWP reference values'!$C$8,G29*'GWP reference values'!$D$8/1000,"Error")))</f>
        <v>0.236032041176401</v>
      </c>
      <c r="I29" s="2">
        <f t="shared" si="5"/>
        <v>11.102198707843069</v>
      </c>
      <c r="J29" s="3">
        <f t="shared" si="6"/>
        <v>35</v>
      </c>
    </row>
    <row r="30" spans="3:10" x14ac:dyDescent="0.25">
      <c r="C30" s="3">
        <v>36</v>
      </c>
      <c r="D30" s="3">
        <f t="shared" ref="D30:D50" si="7">0.1341*C30-1.73</f>
        <v>3.0976000000000004</v>
      </c>
      <c r="E30" s="3">
        <f t="shared" ref="E30:E50" si="8">D30/12*44</f>
        <v>11.357866666666668</v>
      </c>
      <c r="F30" s="2">
        <f>(0.334*0.5^((C30+5)/6.31))*'EF Adjustment Table'!I$19</f>
        <v>5.6645756388243275E-3</v>
      </c>
      <c r="G30" s="8">
        <f t="shared" ref="G30:G50" si="9">F30*1000*16/12</f>
        <v>7.5527675184324368</v>
      </c>
      <c r="H30" s="2">
        <f>IF(Calculator!$E$11='GWP reference values'!$C$6,G30*'GWP reference values'!$D$6/1000,IF(Calculator!$E$11='GWP reference values'!$C$7,G30*'GWP reference values'!$D$7/1000,IF(Calculator!$E$11='GWP reference values'!$C$8,G30*'GWP reference values'!$D$8/1000,"Error")))</f>
        <v>0.21147749051610823</v>
      </c>
      <c r="I30" s="2">
        <f t="shared" si="5"/>
        <v>11.569344157182776</v>
      </c>
      <c r="J30" s="3">
        <f t="shared" si="6"/>
        <v>36</v>
      </c>
    </row>
    <row r="31" spans="3:10" x14ac:dyDescent="0.25">
      <c r="C31" s="3">
        <v>37</v>
      </c>
      <c r="D31" s="3">
        <f t="shared" si="7"/>
        <v>3.2316999999999996</v>
      </c>
      <c r="E31" s="3">
        <f t="shared" si="8"/>
        <v>11.849566666666666</v>
      </c>
      <c r="F31" s="2">
        <f>(0.334*0.5^((C31+5)/6.31))*'EF Adjustment Table'!I$19</f>
        <v>5.075286537228922E-3</v>
      </c>
      <c r="G31" s="8">
        <f t="shared" si="9"/>
        <v>6.7670487163052293</v>
      </c>
      <c r="H31" s="2">
        <f>IF(Calculator!$E$11='GWP reference values'!$C$6,G31*'GWP reference values'!$D$6/1000,IF(Calculator!$E$11='GWP reference values'!$C$7,G31*'GWP reference values'!$D$7/1000,IF(Calculator!$E$11='GWP reference values'!$C$8,G31*'GWP reference values'!$D$8/1000,"Error")))</f>
        <v>0.18947736405654644</v>
      </c>
      <c r="I31" s="2">
        <f t="shared" si="5"/>
        <v>12.039044030723213</v>
      </c>
      <c r="J31" s="3">
        <f t="shared" si="6"/>
        <v>37</v>
      </c>
    </row>
    <row r="32" spans="3:10" x14ac:dyDescent="0.25">
      <c r="C32" s="3">
        <v>38</v>
      </c>
      <c r="D32" s="3">
        <f t="shared" si="7"/>
        <v>3.3657999999999997</v>
      </c>
      <c r="E32" s="3">
        <f t="shared" si="8"/>
        <v>12.341266666666666</v>
      </c>
      <c r="F32" s="2">
        <f>(0.334*0.5^((C32+5)/6.31))*'EF Adjustment Table'!I$19</f>
        <v>4.5473015239537399E-3</v>
      </c>
      <c r="G32" s="8">
        <f t="shared" si="9"/>
        <v>6.0630686986049867</v>
      </c>
      <c r="H32" s="2">
        <f>IF(Calculator!$E$11='GWP reference values'!$C$6,G32*'GWP reference values'!$D$6/1000,IF(Calculator!$E$11='GWP reference values'!$C$7,G32*'GWP reference values'!$D$7/1000,IF(Calculator!$E$11='GWP reference values'!$C$8,G32*'GWP reference values'!$D$8/1000,"Error")))</f>
        <v>0.16976592356093961</v>
      </c>
      <c r="I32" s="2">
        <f t="shared" si="5"/>
        <v>12.511032590227606</v>
      </c>
      <c r="J32" s="3">
        <f t="shared" si="6"/>
        <v>38</v>
      </c>
    </row>
    <row r="33" spans="3:10" x14ac:dyDescent="0.25">
      <c r="C33" s="3">
        <v>39</v>
      </c>
      <c r="D33" s="3">
        <f t="shared" si="7"/>
        <v>3.4998999999999998</v>
      </c>
      <c r="E33" s="3">
        <f t="shared" si="8"/>
        <v>12.832966666666666</v>
      </c>
      <c r="F33" s="2">
        <f>(0.334*0.5^((C33+5)/6.31))*'EF Adjustment Table'!I$19</f>
        <v>4.0742430989999029E-3</v>
      </c>
      <c r="G33" s="8">
        <f t="shared" si="9"/>
        <v>5.4323241319998701</v>
      </c>
      <c r="H33" s="2">
        <f>IF(Calculator!$E$11='GWP reference values'!$C$6,G33*'GWP reference values'!$D$6/1000,IF(Calculator!$E$11='GWP reference values'!$C$7,G33*'GWP reference values'!$D$7/1000,IF(Calculator!$E$11='GWP reference values'!$C$8,G33*'GWP reference values'!$D$8/1000,"Error")))</f>
        <v>0.15210507569599635</v>
      </c>
      <c r="I33" s="2">
        <f t="shared" si="5"/>
        <v>12.985071742362662</v>
      </c>
      <c r="J33" s="3">
        <f t="shared" si="6"/>
        <v>39</v>
      </c>
    </row>
    <row r="34" spans="3:10" x14ac:dyDescent="0.25">
      <c r="C34" s="3">
        <v>40</v>
      </c>
      <c r="D34" s="3">
        <f t="shared" si="7"/>
        <v>3.6339999999999999</v>
      </c>
      <c r="E34" s="3">
        <f t="shared" si="8"/>
        <v>13.324666666666667</v>
      </c>
      <c r="F34" s="2">
        <f>(0.334*0.5^((C34+5)/6.31))*'EF Adjustment Table'!I$19</f>
        <v>3.6503972174063335E-3</v>
      </c>
      <c r="G34" s="8">
        <f t="shared" si="9"/>
        <v>4.8671962898751113</v>
      </c>
      <c r="H34" s="2">
        <f>IF(Calculator!$E$11='GWP reference values'!$C$6,G34*'GWP reference values'!$D$6/1000,IF(Calculator!$E$11='GWP reference values'!$C$7,G34*'GWP reference values'!$D$7/1000,IF(Calculator!$E$11='GWP reference values'!$C$8,G34*'GWP reference values'!$D$8/1000,"Error")))</f>
        <v>0.13628149611650311</v>
      </c>
      <c r="I34" s="2">
        <f t="shared" si="5"/>
        <v>13.46094816278317</v>
      </c>
      <c r="J34" s="3">
        <f t="shared" si="6"/>
        <v>40</v>
      </c>
    </row>
    <row r="35" spans="3:10" x14ac:dyDescent="0.25">
      <c r="C35" s="3">
        <v>41</v>
      </c>
      <c r="D35" s="3">
        <f t="shared" si="7"/>
        <v>3.7681</v>
      </c>
      <c r="E35" s="3">
        <f t="shared" si="8"/>
        <v>13.816366666666667</v>
      </c>
      <c r="F35" s="2">
        <f>(0.334*0.5^((C35+5)/6.31))*'EF Adjustment Table'!I$19</f>
        <v>3.2706442696359664E-3</v>
      </c>
      <c r="G35" s="8">
        <f t="shared" si="9"/>
        <v>4.3608590261812887</v>
      </c>
      <c r="H35" s="2">
        <f>IF(Calculator!$E$11='GWP reference values'!$C$6,G35*'GWP reference values'!$D$6/1000,IF(Calculator!$E$11='GWP reference values'!$C$7,G35*'GWP reference values'!$D$7/1000,IF(Calculator!$E$11='GWP reference values'!$C$8,G35*'GWP reference values'!$D$8/1000,"Error")))</f>
        <v>0.12210405273307609</v>
      </c>
      <c r="I35" s="2">
        <f t="shared" si="5"/>
        <v>13.938470719399744</v>
      </c>
      <c r="J35" s="3">
        <f t="shared" si="6"/>
        <v>41</v>
      </c>
    </row>
    <row r="36" spans="3:10" x14ac:dyDescent="0.25">
      <c r="C36" s="3">
        <v>42</v>
      </c>
      <c r="D36" s="3">
        <f t="shared" si="7"/>
        <v>3.9022000000000001</v>
      </c>
      <c r="E36" s="3">
        <f t="shared" si="8"/>
        <v>14.308066666666667</v>
      </c>
      <c r="F36" s="2">
        <f>(0.334*0.5^((C36+5)/6.31))*'EF Adjustment Table'!I$19</f>
        <v>2.9303972421124763E-3</v>
      </c>
      <c r="G36" s="8">
        <f t="shared" si="9"/>
        <v>3.9071963228166351</v>
      </c>
      <c r="H36" s="2">
        <f>IF(Calculator!$E$11='GWP reference values'!$C$6,G36*'GWP reference values'!$D$6/1000,IF(Calculator!$E$11='GWP reference values'!$C$7,G36*'GWP reference values'!$D$7/1000,IF(Calculator!$E$11='GWP reference values'!$C$8,G36*'GWP reference values'!$D$8/1000,"Error")))</f>
        <v>0.10940149703886579</v>
      </c>
      <c r="I36" s="2">
        <f t="shared" si="5"/>
        <v>14.417468163705532</v>
      </c>
      <c r="J36" s="3">
        <f t="shared" si="6"/>
        <v>42</v>
      </c>
    </row>
    <row r="37" spans="3:10" x14ac:dyDescent="0.25">
      <c r="C37" s="3">
        <v>43</v>
      </c>
      <c r="D37" s="3">
        <f t="shared" si="7"/>
        <v>4.0363000000000007</v>
      </c>
      <c r="E37" s="3">
        <f t="shared" si="8"/>
        <v>14.799766666666669</v>
      </c>
      <c r="F37" s="2">
        <f>(0.334*0.5^((C37+5)/6.31))*'EF Adjustment Table'!I$19</f>
        <v>2.625546310952429E-3</v>
      </c>
      <c r="G37" s="8">
        <f t="shared" si="9"/>
        <v>3.5007284146032389</v>
      </c>
      <c r="H37" s="2">
        <f>IF(Calculator!$E$11='GWP reference values'!$C$6,G37*'GWP reference values'!$D$6/1000,IF(Calculator!$E$11='GWP reference values'!$C$7,G37*'GWP reference values'!$D$7/1000,IF(Calculator!$E$11='GWP reference values'!$C$8,G37*'GWP reference values'!$D$8/1000,"Error")))</f>
        <v>9.8020395608890698E-2</v>
      </c>
      <c r="I37" s="2">
        <f t="shared" si="5"/>
        <v>14.89778706227556</v>
      </c>
      <c r="J37" s="3">
        <f t="shared" si="6"/>
        <v>43</v>
      </c>
    </row>
    <row r="38" spans="3:10" x14ac:dyDescent="0.25">
      <c r="C38" s="3">
        <v>44</v>
      </c>
      <c r="D38" s="3">
        <f t="shared" si="7"/>
        <v>4.170399999999999</v>
      </c>
      <c r="E38" s="3">
        <f t="shared" si="8"/>
        <v>15.291466666666663</v>
      </c>
      <c r="F38" s="2">
        <f>(0.334*0.5^((C38+5)/6.31))*'EF Adjustment Table'!I$19</f>
        <v>2.3524091996436959E-3</v>
      </c>
      <c r="G38" s="8">
        <f t="shared" si="9"/>
        <v>3.1365455995249278</v>
      </c>
      <c r="H38" s="2">
        <f>IF(Calculator!$E$11='GWP reference values'!$C$6,G38*'GWP reference values'!$D$6/1000,IF(Calculator!$E$11='GWP reference values'!$C$7,G38*'GWP reference values'!$D$7/1000,IF(Calculator!$E$11='GWP reference values'!$C$8,G38*'GWP reference values'!$D$8/1000,"Error")))</f>
        <v>8.7823276786697976E-2</v>
      </c>
      <c r="I38" s="2">
        <f t="shared" si="5"/>
        <v>15.379289943453362</v>
      </c>
      <c r="J38" s="3">
        <f t="shared" si="6"/>
        <v>44</v>
      </c>
    </row>
    <row r="39" spans="3:10" x14ac:dyDescent="0.25">
      <c r="C39" s="3">
        <v>45</v>
      </c>
      <c r="D39" s="3">
        <f t="shared" si="7"/>
        <v>4.3044999999999991</v>
      </c>
      <c r="E39" s="3">
        <f t="shared" si="8"/>
        <v>15.783166666666663</v>
      </c>
      <c r="F39" s="2">
        <f>(0.334*0.5^((C39+5)/6.31))*'EF Adjustment Table'!I$19</f>
        <v>2.1076867010435154E-3</v>
      </c>
      <c r="G39" s="8">
        <f t="shared" si="9"/>
        <v>2.8102489347246871</v>
      </c>
      <c r="H39" s="2">
        <f>IF(Calculator!$E$11='GWP reference values'!$C$6,G39*'GWP reference values'!$D$6/1000,IF(Calculator!$E$11='GWP reference values'!$C$7,G39*'GWP reference values'!$D$7/1000,IF(Calculator!$E$11='GWP reference values'!$C$8,G39*'GWP reference values'!$D$8/1000,"Error")))</f>
        <v>7.8686970172291246E-2</v>
      </c>
      <c r="I39" s="2">
        <f t="shared" si="5"/>
        <v>15.861853636838955</v>
      </c>
      <c r="J39" s="3">
        <f t="shared" si="6"/>
        <v>45</v>
      </c>
    </row>
    <row r="40" spans="3:10" x14ac:dyDescent="0.25">
      <c r="C40" s="3">
        <v>46</v>
      </c>
      <c r="D40" s="3">
        <f t="shared" si="7"/>
        <v>4.4385999999999992</v>
      </c>
      <c r="E40" s="3">
        <f t="shared" si="8"/>
        <v>16.274866666666664</v>
      </c>
      <c r="F40" s="2">
        <f>(0.334*0.5^((C40+5)/6.31))*'EF Adjustment Table'!I$19</f>
        <v>1.8884228264489644E-3</v>
      </c>
      <c r="G40" s="8">
        <f t="shared" si="9"/>
        <v>2.5178971019319527</v>
      </c>
      <c r="H40" s="2">
        <f>IF(Calculator!$E$11='GWP reference values'!$C$6,G40*'GWP reference values'!$D$6/1000,IF(Calculator!$E$11='GWP reference values'!$C$7,G40*'GWP reference values'!$D$7/1000,IF(Calculator!$E$11='GWP reference values'!$C$8,G40*'GWP reference values'!$D$8/1000,"Error")))</f>
        <v>7.0501118854094671E-2</v>
      </c>
      <c r="I40" s="2">
        <f t="shared" si="5"/>
        <v>16.345367785520757</v>
      </c>
      <c r="J40" s="3">
        <f t="shared" si="6"/>
        <v>46</v>
      </c>
    </row>
    <row r="41" spans="3:10" x14ac:dyDescent="0.25">
      <c r="C41" s="3">
        <v>47</v>
      </c>
      <c r="D41" s="3">
        <f t="shared" si="7"/>
        <v>4.5726999999999993</v>
      </c>
      <c r="E41" s="3">
        <f t="shared" si="8"/>
        <v>16.766566666666662</v>
      </c>
      <c r="F41" s="2">
        <f>(0.334*0.5^((C41+5)/6.31))*'EF Adjustment Table'!I$19</f>
        <v>1.691969100382852E-3</v>
      </c>
      <c r="G41" s="8">
        <f t="shared" si="9"/>
        <v>2.2559588005104692</v>
      </c>
      <c r="H41" s="2">
        <f>IF(Calculator!$E$11='GWP reference values'!$C$6,G41*'GWP reference values'!$D$6/1000,IF(Calculator!$E$11='GWP reference values'!$C$7,G41*'GWP reference values'!$D$7/1000,IF(Calculator!$E$11='GWP reference values'!$C$8,G41*'GWP reference values'!$D$8/1000,"Error")))</f>
        <v>6.3166846414293126E-2</v>
      </c>
      <c r="I41" s="2">
        <f t="shared" si="5"/>
        <v>16.829733513080956</v>
      </c>
      <c r="J41" s="3">
        <f t="shared" si="6"/>
        <v>47</v>
      </c>
    </row>
    <row r="42" spans="3:10" x14ac:dyDescent="0.25">
      <c r="C42" s="3">
        <v>48</v>
      </c>
      <c r="D42" s="3">
        <f t="shared" si="7"/>
        <v>4.7067999999999994</v>
      </c>
      <c r="E42" s="3">
        <f t="shared" si="8"/>
        <v>17.258266666666664</v>
      </c>
      <c r="F42" s="2">
        <f>(0.334*0.5^((C42+5)/6.31))*'EF Adjustment Table'!I$19</f>
        <v>1.5159525698138045E-3</v>
      </c>
      <c r="G42" s="8">
        <f t="shared" si="9"/>
        <v>2.0212700930850729</v>
      </c>
      <c r="H42" s="2">
        <f>IF(Calculator!$E$11='GWP reference values'!$C$6,G42*'GWP reference values'!$D$6/1000,IF(Calculator!$E$11='GWP reference values'!$C$7,G42*'GWP reference values'!$D$7/1000,IF(Calculator!$E$11='GWP reference values'!$C$8,G42*'GWP reference values'!$D$8/1000,"Error")))</f>
        <v>5.6595562606382037E-2</v>
      </c>
      <c r="I42" s="2">
        <f t="shared" si="5"/>
        <v>17.314862229273047</v>
      </c>
      <c r="J42" s="3">
        <f t="shared" si="6"/>
        <v>48</v>
      </c>
    </row>
    <row r="43" spans="3:10" x14ac:dyDescent="0.25">
      <c r="C43" s="3">
        <v>49</v>
      </c>
      <c r="D43" s="3">
        <f t="shared" si="7"/>
        <v>4.8408999999999995</v>
      </c>
      <c r="E43" s="3">
        <f t="shared" si="8"/>
        <v>17.749966666666666</v>
      </c>
      <c r="F43" s="2">
        <f>(0.334*0.5^((C43+5)/6.31))*'EF Adjustment Table'!I$19</f>
        <v>1.3582471413958281E-3</v>
      </c>
      <c r="G43" s="8">
        <f t="shared" si="9"/>
        <v>1.8109961885277708</v>
      </c>
      <c r="H43" s="2">
        <f>IF(Calculator!$E$11='GWP reference values'!$C$6,G43*'GWP reference values'!$D$6/1000,IF(Calculator!$E$11='GWP reference values'!$C$7,G43*'GWP reference values'!$D$7/1000,IF(Calculator!$E$11='GWP reference values'!$C$8,G43*'GWP reference values'!$D$8/1000,"Error")))</f>
        <v>5.0707893278777581E-2</v>
      </c>
      <c r="I43" s="2">
        <f t="shared" si="5"/>
        <v>17.800674559945442</v>
      </c>
      <c r="J43" s="3">
        <f t="shared" si="6"/>
        <v>49</v>
      </c>
    </row>
    <row r="44" spans="3:10" x14ac:dyDescent="0.25">
      <c r="C44" s="3">
        <v>50</v>
      </c>
      <c r="D44" s="3">
        <f t="shared" si="7"/>
        <v>4.9749999999999996</v>
      </c>
      <c r="E44" s="3">
        <f t="shared" si="8"/>
        <v>18.241666666666667</v>
      </c>
      <c r="F44" s="2">
        <f>(0.334*0.5^((C44+5)/6.31))*'EF Adjustment Table'!I$19</f>
        <v>1.2169479005115095E-3</v>
      </c>
      <c r="G44" s="8">
        <f t="shared" si="9"/>
        <v>1.6225972006820124</v>
      </c>
      <c r="H44" s="2">
        <f>IF(Calculator!$E$11='GWP reference values'!$C$6,G44*'GWP reference values'!$D$6/1000,IF(Calculator!$E$11='GWP reference values'!$C$7,G44*'GWP reference values'!$D$7/1000,IF(Calculator!$E$11='GWP reference values'!$C$8,G44*'GWP reference values'!$D$8/1000,"Error")))</f>
        <v>4.5432721619096346E-2</v>
      </c>
      <c r="I44" s="2">
        <f t="shared" si="5"/>
        <v>18.287099388285764</v>
      </c>
      <c r="J44" s="3">
        <f t="shared" si="6"/>
        <v>50</v>
      </c>
    </row>
    <row r="45" spans="3:10" x14ac:dyDescent="0.25">
      <c r="C45" s="3">
        <v>51</v>
      </c>
      <c r="D45" s="3">
        <f t="shared" si="7"/>
        <v>5.1090999999999998</v>
      </c>
      <c r="E45" s="3">
        <f t="shared" si="8"/>
        <v>18.733366666666665</v>
      </c>
      <c r="F45" s="2">
        <f>(0.334*0.5^((C45+5)/6.31))*'EF Adjustment Table'!I$19</f>
        <v>1.0903481019201215E-3</v>
      </c>
      <c r="G45" s="8">
        <f t="shared" si="9"/>
        <v>1.4537974692268287</v>
      </c>
      <c r="H45" s="2">
        <f>IF(Calculator!$E$11='GWP reference values'!$C$6,G45*'GWP reference values'!$D$6/1000,IF(Calculator!$E$11='GWP reference values'!$C$7,G45*'GWP reference values'!$D$7/1000,IF(Calculator!$E$11='GWP reference values'!$C$8,G45*'GWP reference values'!$D$8/1000,"Error")))</f>
        <v>4.0706329138351205E-2</v>
      </c>
      <c r="I45" s="2">
        <f t="shared" si="5"/>
        <v>18.774072995805017</v>
      </c>
      <c r="J45" s="3">
        <f t="shared" si="6"/>
        <v>51</v>
      </c>
    </row>
    <row r="46" spans="3:10" x14ac:dyDescent="0.25">
      <c r="C46" s="3">
        <v>52</v>
      </c>
      <c r="D46" s="3">
        <f t="shared" si="7"/>
        <v>5.2431999999999999</v>
      </c>
      <c r="E46" s="3">
        <f t="shared" si="8"/>
        <v>19.225066666666667</v>
      </c>
      <c r="F46" s="2">
        <f>(0.334*0.5^((C46+5)/6.31))*'EF Adjustment Table'!I$19</f>
        <v>9.7691855408198452E-4</v>
      </c>
      <c r="G46" s="8">
        <f t="shared" si="9"/>
        <v>1.3025580721093126</v>
      </c>
      <c r="H46" s="2">
        <f>IF(Calculator!$E$11='GWP reference values'!$C$6,G46*'GWP reference values'!$D$6/1000,IF(Calculator!$E$11='GWP reference values'!$C$7,G46*'GWP reference values'!$D$7/1000,IF(Calculator!$E$11='GWP reference values'!$C$8,G46*'GWP reference values'!$D$8/1000,"Error")))</f>
        <v>3.6471626019060753E-2</v>
      </c>
      <c r="I46" s="2">
        <f t="shared" si="5"/>
        <v>19.261538292685728</v>
      </c>
      <c r="J46" s="3">
        <f t="shared" si="6"/>
        <v>52</v>
      </c>
    </row>
    <row r="47" spans="3:10" x14ac:dyDescent="0.25">
      <c r="C47" s="3">
        <v>53</v>
      </c>
      <c r="D47" s="3">
        <f t="shared" si="7"/>
        <v>5.3773</v>
      </c>
      <c r="E47" s="3">
        <f t="shared" si="8"/>
        <v>19.716766666666665</v>
      </c>
      <c r="F47" s="2">
        <f>(0.334*0.5^((C47+5)/6.31))*'EF Adjustment Table'!I$19</f>
        <v>8.7528914814358346E-4</v>
      </c>
      <c r="G47" s="8">
        <f t="shared" si="9"/>
        <v>1.1670521975247781</v>
      </c>
      <c r="H47" s="2">
        <f>IF(Calculator!$E$11='GWP reference values'!$C$6,G47*'GWP reference values'!$D$6/1000,IF(Calculator!$E$11='GWP reference values'!$C$7,G47*'GWP reference values'!$D$7/1000,IF(Calculator!$E$11='GWP reference values'!$C$8,G47*'GWP reference values'!$D$8/1000,"Error")))</f>
        <v>3.2677461530693785E-2</v>
      </c>
      <c r="I47" s="2">
        <f t="shared" si="5"/>
        <v>19.749444128197357</v>
      </c>
      <c r="J47" s="3">
        <f t="shared" si="6"/>
        <v>53</v>
      </c>
    </row>
    <row r="48" spans="3:10" x14ac:dyDescent="0.25">
      <c r="C48" s="3">
        <v>54</v>
      </c>
      <c r="D48" s="3">
        <f t="shared" si="7"/>
        <v>5.5114000000000001</v>
      </c>
      <c r="E48" s="3">
        <f t="shared" si="8"/>
        <v>20.208466666666666</v>
      </c>
      <c r="F48" s="2">
        <f>(0.334*0.5^((C48+5)/6.31))*'EF Adjustment Table'!I$19</f>
        <v>7.8423230847310171E-4</v>
      </c>
      <c r="G48" s="8">
        <f t="shared" si="9"/>
        <v>1.0456430779641355</v>
      </c>
      <c r="H48" s="2">
        <f>IF(Calculator!$E$11='GWP reference values'!$C$6,G48*'GWP reference values'!$D$6/1000,IF(Calculator!$E$11='GWP reference values'!$C$7,G48*'GWP reference values'!$D$7/1000,IF(Calculator!$E$11='GWP reference values'!$C$8,G48*'GWP reference values'!$D$8/1000,"Error")))</f>
        <v>2.9278006182995791E-2</v>
      </c>
      <c r="I48" s="2">
        <f t="shared" si="5"/>
        <v>20.237744672849661</v>
      </c>
      <c r="J48" s="3">
        <f t="shared" si="6"/>
        <v>54</v>
      </c>
    </row>
    <row r="49" spans="3:10" x14ac:dyDescent="0.25">
      <c r="C49" s="3">
        <v>55</v>
      </c>
      <c r="D49" s="3">
        <f t="shared" si="7"/>
        <v>5.6455000000000002</v>
      </c>
      <c r="E49" s="3">
        <f t="shared" si="8"/>
        <v>20.700166666666668</v>
      </c>
      <c r="F49" s="2">
        <f>(0.334*0.5^((C49+5)/6.31))*'EF Adjustment Table'!I$19</f>
        <v>7.0264816484639191E-4</v>
      </c>
      <c r="G49" s="8">
        <f t="shared" si="9"/>
        <v>0.93686421979518919</v>
      </c>
      <c r="H49" s="2">
        <f>IF(Calculator!$E$11='GWP reference values'!$C$6,G49*'GWP reference values'!$D$6/1000,IF(Calculator!$E$11='GWP reference values'!$C$7,G49*'GWP reference values'!$D$7/1000,IF(Calculator!$E$11='GWP reference values'!$C$8,G49*'GWP reference values'!$D$8/1000,"Error")))</f>
        <v>2.6232198154265297E-2</v>
      </c>
      <c r="I49" s="2">
        <f t="shared" si="5"/>
        <v>20.726398864820933</v>
      </c>
      <c r="J49" s="3">
        <f t="shared" si="6"/>
        <v>55</v>
      </c>
    </row>
    <row r="50" spans="3:10" x14ac:dyDescent="0.25">
      <c r="C50" s="3">
        <v>56</v>
      </c>
      <c r="D50" s="3">
        <f t="shared" si="7"/>
        <v>5.7796000000000003</v>
      </c>
      <c r="E50" s="3">
        <f t="shared" si="8"/>
        <v>21.19186666666667</v>
      </c>
      <c r="F50" s="2">
        <f>(0.334*0.5^((C50+5)/6.31))*'EF Adjustment Table'!I$19</f>
        <v>6.2955126717906165E-4</v>
      </c>
      <c r="G50" s="8">
        <f t="shared" si="9"/>
        <v>0.83940168957208217</v>
      </c>
      <c r="H50" s="2">
        <f>IF(Calculator!$E$11='GWP reference values'!$C$6,G50*'GWP reference values'!$D$6/1000,IF(Calculator!$E$11='GWP reference values'!$C$7,G50*'GWP reference values'!$D$7/1000,IF(Calculator!$E$11='GWP reference values'!$C$8,G50*'GWP reference values'!$D$8/1000,"Error")))</f>
        <v>2.3503247308018303E-2</v>
      </c>
      <c r="I50" s="2">
        <f t="shared" si="5"/>
        <v>21.215369913974687</v>
      </c>
      <c r="J50" s="3">
        <f t="shared" si="6"/>
        <v>56</v>
      </c>
    </row>
    <row r="51" spans="3:10" x14ac:dyDescent="0.25">
      <c r="C51" s="3">
        <v>57</v>
      </c>
      <c r="D51" s="3">
        <f t="shared" ref="D51:D53" si="10">0.1341*C51-1.73</f>
        <v>5.9137000000000004</v>
      </c>
      <c r="E51" s="3">
        <f t="shared" ref="E51:E53" si="11">D51/12*44</f>
        <v>21.683566666666668</v>
      </c>
      <c r="F51" s="2">
        <f>(0.334*0.5^((C51+5)/6.31))*'EF Adjustment Table'!I$19</f>
        <v>5.6405868233272319E-4</v>
      </c>
      <c r="G51" s="8">
        <f t="shared" ref="G51:G53" si="12">F51*1000*16/12</f>
        <v>0.75207824311029758</v>
      </c>
      <c r="H51" s="2">
        <f>IF(Calculator!$E$11='GWP reference values'!$C$6,G51*'GWP reference values'!$D$6/1000,IF(Calculator!$E$11='GWP reference values'!$C$7,G51*'GWP reference values'!$D$7/1000,IF(Calculator!$E$11='GWP reference values'!$C$8,G51*'GWP reference values'!$D$8/1000,"Error")))</f>
        <v>2.1058190807088335E-2</v>
      </c>
      <c r="I51" s="2">
        <f t="shared" si="5"/>
        <v>21.704624857473757</v>
      </c>
      <c r="J51" s="3">
        <f t="shared" si="6"/>
        <v>57</v>
      </c>
    </row>
    <row r="52" spans="3:10" x14ac:dyDescent="0.25">
      <c r="C52" s="3">
        <v>58</v>
      </c>
      <c r="D52" s="3">
        <f t="shared" si="10"/>
        <v>6.0478000000000005</v>
      </c>
      <c r="E52" s="3">
        <f t="shared" si="11"/>
        <v>22.175266666666666</v>
      </c>
      <c r="F52" s="2">
        <f>(0.334*0.5^((C52+5)/6.31))*'EF Adjustment Table'!I$19</f>
        <v>5.053793292174167E-4</v>
      </c>
      <c r="G52" s="8">
        <f t="shared" si="12"/>
        <v>0.67383910562322225</v>
      </c>
      <c r="H52" s="2">
        <f>IF(Calculator!$E$11='GWP reference values'!$C$6,G52*'GWP reference values'!$D$6/1000,IF(Calculator!$E$11='GWP reference values'!$C$7,G52*'GWP reference values'!$D$7/1000,IF(Calculator!$E$11='GWP reference values'!$C$8,G52*'GWP reference values'!$D$8/1000,"Error")))</f>
        <v>1.8867494957450222E-2</v>
      </c>
      <c r="I52" s="2">
        <f t="shared" si="5"/>
        <v>22.194134161624117</v>
      </c>
      <c r="J52" s="3">
        <f t="shared" si="6"/>
        <v>58</v>
      </c>
    </row>
    <row r="53" spans="3:10" x14ac:dyDescent="0.25">
      <c r="C53" s="3">
        <v>59</v>
      </c>
      <c r="D53" s="3">
        <f t="shared" si="10"/>
        <v>6.1819000000000006</v>
      </c>
      <c r="E53" s="3">
        <f t="shared" si="11"/>
        <v>22.666966666666667</v>
      </c>
      <c r="F53" s="2">
        <f>(0.334*0.5^((C53+5)/6.31))*'EF Adjustment Table'!I$19</f>
        <v>4.5280442336952939E-4</v>
      </c>
      <c r="G53" s="8">
        <f t="shared" si="12"/>
        <v>0.60373923115937245</v>
      </c>
      <c r="H53" s="2">
        <f>IF(Calculator!$E$11='GWP reference values'!$C$6,G53*'GWP reference values'!$D$6/1000,IF(Calculator!$E$11='GWP reference values'!$C$7,G53*'GWP reference values'!$D$7/1000,IF(Calculator!$E$11='GWP reference values'!$C$8,G53*'GWP reference values'!$D$8/1000,"Error")))</f>
        <v>1.690469847246243E-2</v>
      </c>
      <c r="I53" s="2">
        <f t="shared" si="5"/>
        <v>22.683871365139129</v>
      </c>
      <c r="J53" s="3">
        <f t="shared" si="6"/>
        <v>59</v>
      </c>
    </row>
    <row r="54" spans="3:10" x14ac:dyDescent="0.25">
      <c r="C54" s="3">
        <v>60</v>
      </c>
      <c r="D54" s="3">
        <f t="shared" si="0"/>
        <v>6.3159999999999989</v>
      </c>
      <c r="E54" s="3">
        <f t="shared" si="1"/>
        <v>23.158666666666662</v>
      </c>
      <c r="F54" s="2">
        <f>(0.334*0.5^((C54+5)/6.31))*'EF Adjustment Table'!I$19</f>
        <v>4.0569891558585471E-4</v>
      </c>
      <c r="G54" s="8">
        <f t="shared" si="2"/>
        <v>0.54093188744780629</v>
      </c>
      <c r="H54" s="2">
        <f>IF(Calculator!$E$11='GWP reference values'!$C$6,G54*'GWP reference values'!$D$6/1000,IF(Calculator!$E$11='GWP reference values'!$C$7,G54*'GWP reference values'!$D$7/1000,IF(Calculator!$E$11='GWP reference values'!$C$8,G54*'GWP reference values'!$D$8/1000,"Error")))</f>
        <v>1.5146092848538576E-2</v>
      </c>
      <c r="I54" s="2">
        <f t="shared" si="5"/>
        <v>23.173812759515201</v>
      </c>
      <c r="J54" s="3">
        <f t="shared" si="6"/>
        <v>60</v>
      </c>
    </row>
    <row r="55" spans="3:10" x14ac:dyDescent="0.25">
      <c r="C55" s="3">
        <v>61</v>
      </c>
      <c r="D55" s="3">
        <f t="shared" si="0"/>
        <v>6.4500999999999991</v>
      </c>
      <c r="E55" s="3">
        <f t="shared" si="1"/>
        <v>23.650366666666663</v>
      </c>
      <c r="F55" s="2">
        <f>(0.334*0.5^((C55+5)/6.31))*'EF Adjustment Table'!I$19</f>
        <v>3.6349382120151315E-4</v>
      </c>
      <c r="G55" s="8">
        <f t="shared" si="2"/>
        <v>0.48465842826868416</v>
      </c>
      <c r="H55" s="2">
        <f>IF(Calculator!$E$11='GWP reference values'!$C$6,G55*'GWP reference values'!$D$6/1000,IF(Calculator!$E$11='GWP reference values'!$C$7,G55*'GWP reference values'!$D$7/1000,IF(Calculator!$E$11='GWP reference values'!$C$8,G55*'GWP reference values'!$D$8/1000,"Error")))</f>
        <v>1.3570435991523157E-2</v>
      </c>
      <c r="I55" s="2">
        <f t="shared" si="5"/>
        <v>23.663937102658185</v>
      </c>
      <c r="J55" s="3">
        <f t="shared" si="6"/>
        <v>61</v>
      </c>
    </row>
    <row r="56" spans="3:10" x14ac:dyDescent="0.25">
      <c r="C56" s="3">
        <v>62</v>
      </c>
      <c r="D56" s="3">
        <f t="shared" si="0"/>
        <v>6.5841999999999992</v>
      </c>
      <c r="E56" s="3">
        <f t="shared" si="1"/>
        <v>24.142066666666665</v>
      </c>
      <c r="F56" s="2">
        <f>(0.334*0.5^((C56+5)/6.31))*'EF Adjustment Table'!I$19</f>
        <v>3.2567934735757721E-4</v>
      </c>
      <c r="G56" s="8">
        <f t="shared" si="2"/>
        <v>0.43423912981010293</v>
      </c>
      <c r="H56" s="2">
        <f>IF(Calculator!$E$11='GWP reference values'!$C$6,G56*'GWP reference values'!$D$6/1000,IF(Calculator!$E$11='GWP reference values'!$C$7,G56*'GWP reference values'!$D$7/1000,IF(Calculator!$E$11='GWP reference values'!$C$8,G56*'GWP reference values'!$D$8/1000,"Error")))</f>
        <v>1.2158695634682882E-2</v>
      </c>
      <c r="I56" s="2">
        <f t="shared" si="5"/>
        <v>24.154225362301347</v>
      </c>
      <c r="J56" s="3">
        <f t="shared" si="6"/>
        <v>62</v>
      </c>
    </row>
    <row r="57" spans="3:10" x14ac:dyDescent="0.25">
      <c r="C57" s="3">
        <v>63</v>
      </c>
      <c r="D57" s="3">
        <f t="shared" si="0"/>
        <v>6.7182999999999993</v>
      </c>
      <c r="E57" s="3">
        <f t="shared" si="1"/>
        <v>24.633766666666663</v>
      </c>
      <c r="F57" s="2">
        <f>(0.334*0.5^((C57+5)/6.31))*'EF Adjustment Table'!I$19</f>
        <v>2.917987352430288E-4</v>
      </c>
      <c r="G57" s="8">
        <f t="shared" si="2"/>
        <v>0.38906498032403841</v>
      </c>
      <c r="H57" s="2">
        <f>IF(Calculator!$E$11='GWP reference values'!$C$6,G57*'GWP reference values'!$D$6/1000,IF(Calculator!$E$11='GWP reference values'!$C$7,G57*'GWP reference values'!$D$7/1000,IF(Calculator!$E$11='GWP reference values'!$C$8,G57*'GWP reference values'!$D$8/1000,"Error")))</f>
        <v>1.0893819449073076E-2</v>
      </c>
      <c r="I57" s="2">
        <f t="shared" si="5"/>
        <v>24.644660486115736</v>
      </c>
      <c r="J57" s="3">
        <f t="shared" si="6"/>
        <v>63</v>
      </c>
    </row>
    <row r="58" spans="3:10" x14ac:dyDescent="0.25">
      <c r="C58" s="3">
        <v>64</v>
      </c>
      <c r="D58" s="3">
        <f t="shared" si="0"/>
        <v>6.8523999999999994</v>
      </c>
      <c r="E58" s="3">
        <f t="shared" si="1"/>
        <v>25.125466666666664</v>
      </c>
      <c r="F58" s="2">
        <f>(0.334*0.5^((C58+5)/6.31))*'EF Adjustment Table'!I$19</f>
        <v>2.614427429318859E-4</v>
      </c>
      <c r="G58" s="8">
        <f t="shared" si="2"/>
        <v>0.34859032390918121</v>
      </c>
      <c r="H58" s="2">
        <f>IF(Calculator!$E$11='GWP reference values'!$C$6,G58*'GWP reference values'!$D$6/1000,IF(Calculator!$E$11='GWP reference values'!$C$7,G58*'GWP reference values'!$D$7/1000,IF(Calculator!$E$11='GWP reference values'!$C$8,G58*'GWP reference values'!$D$8/1000,"Error")))</f>
        <v>9.7605290694570742E-3</v>
      </c>
      <c r="I58" s="2">
        <f t="shared" si="5"/>
        <v>25.135227195736121</v>
      </c>
      <c r="J58" s="3">
        <f t="shared" si="6"/>
        <v>64</v>
      </c>
    </row>
    <row r="59" spans="3:10" x14ac:dyDescent="0.25">
      <c r="C59" s="3">
        <v>65</v>
      </c>
      <c r="D59" s="3">
        <f t="shared" si="0"/>
        <v>6.9864999999999995</v>
      </c>
      <c r="E59" s="3">
        <f t="shared" si="1"/>
        <v>25.617166666666666</v>
      </c>
      <c r="F59" s="2">
        <f>(0.334*0.5^((C59+5)/6.31))*'EF Adjustment Table'!I$19</f>
        <v>2.3424470217398228E-4</v>
      </c>
      <c r="G59" s="8">
        <f t="shared" si="2"/>
        <v>0.31232626956530968</v>
      </c>
      <c r="H59" s="2">
        <f>IF(Calculator!$E$11='GWP reference values'!$C$6,G59*'GWP reference values'!$D$6/1000,IF(Calculator!$E$11='GWP reference values'!$C$7,G59*'GWP reference values'!$D$7/1000,IF(Calculator!$E$11='GWP reference values'!$C$8,G59*'GWP reference values'!$D$8/1000,"Error")))</f>
        <v>8.7451355478286707E-3</v>
      </c>
      <c r="I59" s="2">
        <f t="shared" si="5"/>
        <v>25.625911802214496</v>
      </c>
      <c r="J59" s="3">
        <f t="shared" si="6"/>
        <v>65</v>
      </c>
    </row>
    <row r="60" spans="3:10" x14ac:dyDescent="0.25">
      <c r="C60" s="3">
        <v>66</v>
      </c>
      <c r="D60" s="3">
        <f t="shared" ref="D60:D93" si="13">0.1341*C60-1.73</f>
        <v>7.1205999999999996</v>
      </c>
      <c r="E60" s="3">
        <f t="shared" ref="E60:E93" si="14">D60/12*44</f>
        <v>26.108866666666664</v>
      </c>
      <c r="F60" s="2">
        <f>(0.334*0.5^((C60+5)/6.31))*'EF Adjustment Table'!I$19</f>
        <v>2.098760894306914E-4</v>
      </c>
      <c r="G60" s="8">
        <f t="shared" ref="G60:G93" si="15">F60*1000*16/12</f>
        <v>0.27983478590758853</v>
      </c>
      <c r="H60" s="2">
        <f>IF(Calculator!$E$11='GWP reference values'!$C$6,G60*'GWP reference values'!$D$6/1000,IF(Calculator!$E$11='GWP reference values'!$C$7,G60*'GWP reference values'!$D$7/1000,IF(Calculator!$E$11='GWP reference values'!$C$8,G60*'GWP reference values'!$D$8/1000,"Error")))</f>
        <v>7.8353740054124786E-3</v>
      </c>
      <c r="I60" s="2">
        <f t="shared" si="5"/>
        <v>26.116702040672077</v>
      </c>
      <c r="J60" s="3">
        <f t="shared" si="6"/>
        <v>66</v>
      </c>
    </row>
    <row r="61" spans="3:10" x14ac:dyDescent="0.25">
      <c r="C61" s="3">
        <v>67</v>
      </c>
      <c r="D61" s="3">
        <f t="shared" si="13"/>
        <v>7.2546999999999997</v>
      </c>
      <c r="E61" s="3">
        <f t="shared" si="14"/>
        <v>26.600566666666666</v>
      </c>
      <c r="F61" s="2">
        <f>(0.334*0.5^((C61+5)/6.31))*'EF Adjustment Table'!I$19</f>
        <v>1.8804255765837331E-4</v>
      </c>
      <c r="G61" s="8">
        <f t="shared" si="15"/>
        <v>0.2507234102111644</v>
      </c>
      <c r="H61" s="2">
        <f>IF(Calculator!$E$11='GWP reference values'!$C$6,G61*'GWP reference values'!$D$6/1000,IF(Calculator!$E$11='GWP reference values'!$C$7,G61*'GWP reference values'!$D$7/1000,IF(Calculator!$E$11='GWP reference values'!$C$8,G61*'GWP reference values'!$D$8/1000,"Error")))</f>
        <v>7.0202554859126031E-3</v>
      </c>
      <c r="I61" s="2">
        <f t="shared" si="5"/>
        <v>26.607586922152578</v>
      </c>
      <c r="J61" s="3">
        <f t="shared" si="6"/>
        <v>67</v>
      </c>
    </row>
    <row r="62" spans="3:10" x14ac:dyDescent="0.25">
      <c r="C62" s="3">
        <v>68</v>
      </c>
      <c r="D62" s="3">
        <f t="shared" si="13"/>
        <v>7.3887999999999998</v>
      </c>
      <c r="E62" s="3">
        <f t="shared" si="14"/>
        <v>27.092266666666667</v>
      </c>
      <c r="F62" s="2">
        <f>(0.334*0.5^((C62+5)/6.31))*'EF Adjustment Table'!I$19</f>
        <v>1.6848038090770597E-4</v>
      </c>
      <c r="G62" s="8">
        <f t="shared" si="15"/>
        <v>0.22464050787694131</v>
      </c>
      <c r="H62" s="2">
        <f>IF(Calculator!$E$11='GWP reference values'!$C$6,G62*'GWP reference values'!$D$6/1000,IF(Calculator!$E$11='GWP reference values'!$C$7,G62*'GWP reference values'!$D$7/1000,IF(Calculator!$E$11='GWP reference values'!$C$8,G62*'GWP reference values'!$D$8/1000,"Error")))</f>
        <v>6.2899342205543565E-3</v>
      </c>
      <c r="I62" s="2">
        <f t="shared" si="5"/>
        <v>27.098556600887221</v>
      </c>
      <c r="J62" s="3">
        <f t="shared" si="6"/>
        <v>68</v>
      </c>
    </row>
    <row r="63" spans="3:10" x14ac:dyDescent="0.25">
      <c r="C63" s="3">
        <v>69</v>
      </c>
      <c r="D63" s="3">
        <f t="shared" si="13"/>
        <v>7.5228999999999999</v>
      </c>
      <c r="E63" s="3">
        <f t="shared" si="14"/>
        <v>27.583966666666665</v>
      </c>
      <c r="F63" s="2">
        <f>(0.334*0.5^((C63+5)/6.31))*'EF Adjustment Table'!I$19</f>
        <v>1.5095326879341529E-4</v>
      </c>
      <c r="G63" s="8">
        <f t="shared" si="15"/>
        <v>0.20127102505788705</v>
      </c>
      <c r="H63" s="2">
        <f>IF(Calculator!$E$11='GWP reference values'!$C$6,G63*'GWP reference values'!$D$6/1000,IF(Calculator!$E$11='GWP reference values'!$C$7,G63*'GWP reference values'!$D$7/1000,IF(Calculator!$E$11='GWP reference values'!$C$8,G63*'GWP reference values'!$D$8/1000,"Error")))</f>
        <v>5.6355887016208374E-3</v>
      </c>
      <c r="I63" s="2">
        <f t="shared" si="5"/>
        <v>27.589602255368288</v>
      </c>
      <c r="J63" s="3">
        <f t="shared" si="6"/>
        <v>69</v>
      </c>
    </row>
    <row r="64" spans="3:10" x14ac:dyDescent="0.25">
      <c r="C64" s="3">
        <v>70</v>
      </c>
      <c r="D64" s="3">
        <f t="shared" si="13"/>
        <v>7.657</v>
      </c>
      <c r="E64" s="3">
        <f t="shared" si="14"/>
        <v>28.075666666666667</v>
      </c>
      <c r="F64" s="2">
        <f>(0.334*0.5^((C64+5)/6.31))*'EF Adjustment Table'!I$19</f>
        <v>1.3524951235657407E-4</v>
      </c>
      <c r="G64" s="8">
        <f t="shared" si="15"/>
        <v>0.18033268314209874</v>
      </c>
      <c r="H64" s="2">
        <f>IF(Calculator!$E$11='GWP reference values'!$C$6,G64*'GWP reference values'!$D$6/1000,IF(Calculator!$E$11='GWP reference values'!$C$7,G64*'GWP reference values'!$D$7/1000,IF(Calculator!$E$11='GWP reference values'!$C$8,G64*'GWP reference values'!$D$8/1000,"Error")))</f>
        <v>5.0493151279787643E-3</v>
      </c>
      <c r="I64" s="2">
        <f t="shared" si="5"/>
        <v>28.080715981794647</v>
      </c>
      <c r="J64" s="3">
        <f t="shared" si="6"/>
        <v>70</v>
      </c>
    </row>
    <row r="65" spans="3:10" x14ac:dyDescent="0.25">
      <c r="C65" s="3">
        <v>71</v>
      </c>
      <c r="D65" s="3">
        <f t="shared" si="13"/>
        <v>7.7911000000000001</v>
      </c>
      <c r="E65" s="3">
        <f t="shared" si="14"/>
        <v>28.567366666666668</v>
      </c>
      <c r="F65" s="2">
        <f>(0.334*0.5^((C65+5)/6.31))*'EF Adjustment Table'!I$19</f>
        <v>1.2117942684450841E-4</v>
      </c>
      <c r="G65" s="8">
        <f t="shared" si="15"/>
        <v>0.16157256912601123</v>
      </c>
      <c r="H65" s="2">
        <f>IF(Calculator!$E$11='GWP reference values'!$C$6,G65*'GWP reference values'!$D$6/1000,IF(Calculator!$E$11='GWP reference values'!$C$7,G65*'GWP reference values'!$D$7/1000,IF(Calculator!$E$11='GWP reference values'!$C$8,G65*'GWP reference values'!$D$8/1000,"Error")))</f>
        <v>4.5240319355283141E-3</v>
      </c>
      <c r="I65" s="2">
        <f t="shared" si="5"/>
        <v>28.571890698602196</v>
      </c>
      <c r="J65" s="3">
        <f t="shared" si="6"/>
        <v>71</v>
      </c>
    </row>
    <row r="66" spans="3:10" x14ac:dyDescent="0.25">
      <c r="C66" s="3">
        <v>72</v>
      </c>
      <c r="D66" s="3">
        <f t="shared" si="13"/>
        <v>7.9252000000000002</v>
      </c>
      <c r="E66" s="3">
        <f t="shared" si="14"/>
        <v>29.059066666666666</v>
      </c>
      <c r="F66" s="2">
        <f>(0.334*0.5^((C66+5)/6.31))*'EF Adjustment Table'!I$19</f>
        <v>1.0857306051979843E-4</v>
      </c>
      <c r="G66" s="8">
        <f t="shared" si="15"/>
        <v>0.1447640806930646</v>
      </c>
      <c r="H66" s="2">
        <f>IF(Calculator!$E$11='GWP reference values'!$C$6,G66*'GWP reference values'!$D$6/1000,IF(Calculator!$E$11='GWP reference values'!$C$7,G66*'GWP reference values'!$D$7/1000,IF(Calculator!$E$11='GWP reference values'!$C$8,G66*'GWP reference values'!$D$8/1000,"Error")))</f>
        <v>4.0533942594058086E-3</v>
      </c>
      <c r="I66" s="2">
        <f t="shared" si="5"/>
        <v>29.063120060926071</v>
      </c>
      <c r="J66" s="3">
        <f t="shared" si="6"/>
        <v>72</v>
      </c>
    </row>
    <row r="67" spans="3:10" x14ac:dyDescent="0.25">
      <c r="C67" s="3">
        <v>73</v>
      </c>
      <c r="D67" s="3">
        <f t="shared" si="13"/>
        <v>8.0592999999999986</v>
      </c>
      <c r="E67" s="3">
        <f t="shared" si="14"/>
        <v>29.550766666666664</v>
      </c>
      <c r="F67" s="2">
        <f>(0.334*0.5^((C67+5)/6.31))*'EF Adjustment Table'!I$19</f>
        <v>9.7278141823213627E-5</v>
      </c>
      <c r="G67" s="8">
        <f t="shared" si="15"/>
        <v>0.12970418909761816</v>
      </c>
      <c r="H67" s="2">
        <f>IF(Calculator!$E$11='GWP reference values'!$C$6,G67*'GWP reference values'!$D$6/1000,IF(Calculator!$E$11='GWP reference values'!$C$7,G67*'GWP reference values'!$D$7/1000,IF(Calculator!$E$11='GWP reference values'!$C$8,G67*'GWP reference values'!$D$8/1000,"Error")))</f>
        <v>3.6317172947333085E-3</v>
      </c>
      <c r="I67" s="2">
        <f t="shared" si="5"/>
        <v>29.554398383961399</v>
      </c>
      <c r="J67" s="3">
        <f t="shared" si="6"/>
        <v>73</v>
      </c>
    </row>
    <row r="68" spans="3:10" x14ac:dyDescent="0.25">
      <c r="C68" s="3">
        <v>74</v>
      </c>
      <c r="D68" s="3">
        <f t="shared" si="13"/>
        <v>8.1933999999999987</v>
      </c>
      <c r="E68" s="3">
        <f t="shared" si="14"/>
        <v>30.042466666666659</v>
      </c>
      <c r="F68" s="2">
        <f>(0.334*0.5^((C68+5)/6.31))*'EF Adjustment Table'!I$19</f>
        <v>8.7158240094481536E-5</v>
      </c>
      <c r="G68" s="8">
        <f t="shared" si="15"/>
        <v>0.11621098679264204</v>
      </c>
      <c r="H68" s="2">
        <f>IF(Calculator!$E$11='GWP reference values'!$C$6,G68*'GWP reference values'!$D$6/1000,IF(Calculator!$E$11='GWP reference values'!$C$7,G68*'GWP reference values'!$D$7/1000,IF(Calculator!$E$11='GWP reference values'!$C$8,G68*'GWP reference values'!$D$8/1000,"Error")))</f>
        <v>3.2539076301939768E-3</v>
      </c>
      <c r="I68" s="2">
        <f t="shared" si="5"/>
        <v>30.045720574296851</v>
      </c>
      <c r="J68" s="3">
        <f t="shared" si="6"/>
        <v>74</v>
      </c>
    </row>
    <row r="69" spans="3:10" x14ac:dyDescent="0.25">
      <c r="C69" s="3">
        <v>75</v>
      </c>
      <c r="D69" s="3">
        <f t="shared" si="13"/>
        <v>8.3274999999999988</v>
      </c>
      <c r="E69" s="3">
        <f t="shared" si="14"/>
        <v>30.534166666666664</v>
      </c>
      <c r="F69" s="2">
        <f>(0.334*0.5^((C69+5)/6.31))*'EF Adjustment Table'!I$19</f>
        <v>7.8091117634347231E-5</v>
      </c>
      <c r="G69" s="8">
        <f t="shared" si="15"/>
        <v>0.10412149017912964</v>
      </c>
      <c r="H69" s="2">
        <f>IF(Calculator!$E$11='GWP reference values'!$C$6,G69*'GWP reference values'!$D$6/1000,IF(Calculator!$E$11='GWP reference values'!$C$7,G69*'GWP reference values'!$D$7/1000,IF(Calculator!$E$11='GWP reference values'!$C$8,G69*'GWP reference values'!$D$8/1000,"Error")))</f>
        <v>2.9154017250156298E-3</v>
      </c>
      <c r="I69" s="2">
        <f t="shared" si="5"/>
        <v>30.53708206839168</v>
      </c>
      <c r="J69" s="3">
        <f t="shared" si="6"/>
        <v>75</v>
      </c>
    </row>
    <row r="70" spans="3:10" x14ac:dyDescent="0.25">
      <c r="C70" s="3">
        <v>76</v>
      </c>
      <c r="D70" s="3">
        <f t="shared" si="13"/>
        <v>8.4615999999999989</v>
      </c>
      <c r="E70" s="3">
        <f t="shared" si="14"/>
        <v>31.025866666666666</v>
      </c>
      <c r="F70" s="2">
        <f>(0.334*0.5^((C70+5)/6.31))*'EF Adjustment Table'!I$19</f>
        <v>6.9967253202575364E-5</v>
      </c>
      <c r="G70" s="8">
        <f t="shared" si="15"/>
        <v>9.3289670936767155E-2</v>
      </c>
      <c r="H70" s="2">
        <f>IF(Calculator!$E$11='GWP reference values'!$C$6,G70*'GWP reference values'!$D$6/1000,IF(Calculator!$E$11='GWP reference values'!$C$7,G70*'GWP reference values'!$D$7/1000,IF(Calculator!$E$11='GWP reference values'!$C$8,G70*'GWP reference values'!$D$8/1000,"Error")))</f>
        <v>2.6121107862294799E-3</v>
      </c>
      <c r="I70" s="2">
        <f t="shared" si="5"/>
        <v>31.028478777452897</v>
      </c>
      <c r="J70" s="3">
        <f t="shared" si="6"/>
        <v>76</v>
      </c>
    </row>
    <row r="71" spans="3:10" x14ac:dyDescent="0.25">
      <c r="C71" s="3">
        <v>77</v>
      </c>
      <c r="D71" s="3">
        <f t="shared" si="13"/>
        <v>8.595699999999999</v>
      </c>
      <c r="E71" s="3">
        <f t="shared" si="14"/>
        <v>31.51756666666666</v>
      </c>
      <c r="F71" s="2">
        <f>(0.334*0.5^((C71+5)/6.31))*'EF Adjustment Table'!I$19</f>
        <v>6.2688519117315412E-5</v>
      </c>
      <c r="G71" s="8">
        <f t="shared" si="15"/>
        <v>8.3584692156420545E-2</v>
      </c>
      <c r="H71" s="2">
        <f>IF(Calculator!$E$11='GWP reference values'!$C$6,G71*'GWP reference values'!$D$6/1000,IF(Calculator!$E$11='GWP reference values'!$C$7,G71*'GWP reference values'!$D$7/1000,IF(Calculator!$E$11='GWP reference values'!$C$8,G71*'GWP reference values'!$D$8/1000,"Error")))</f>
        <v>2.3403713803797754E-3</v>
      </c>
      <c r="I71" s="2">
        <f t="shared" si="5"/>
        <v>31.519907038047041</v>
      </c>
      <c r="J71" s="3">
        <f t="shared" si="6"/>
        <v>77</v>
      </c>
    </row>
    <row r="72" spans="3:10" x14ac:dyDescent="0.25">
      <c r="C72" s="3">
        <v>78</v>
      </c>
      <c r="D72" s="3">
        <f t="shared" si="13"/>
        <v>8.7297999999999991</v>
      </c>
      <c r="E72" s="3">
        <f t="shared" si="14"/>
        <v>32.009266666666662</v>
      </c>
      <c r="F72" s="2">
        <f>(0.334*0.5^((C72+5)/6.31))*'EF Adjustment Table'!I$19</f>
        <v>5.616699597658877E-5</v>
      </c>
      <c r="G72" s="8">
        <f t="shared" si="15"/>
        <v>7.488932796878503E-2</v>
      </c>
      <c r="H72" s="2">
        <f>IF(Calculator!$E$11='GWP reference values'!$C$6,G72*'GWP reference values'!$D$6/1000,IF(Calculator!$E$11='GWP reference values'!$C$7,G72*'GWP reference values'!$D$7/1000,IF(Calculator!$E$11='GWP reference values'!$C$8,G72*'GWP reference values'!$D$8/1000,"Error")))</f>
        <v>2.0969011831259809E-3</v>
      </c>
      <c r="I72" s="2">
        <f t="shared" si="5"/>
        <v>32.011363567849784</v>
      </c>
      <c r="J72" s="3">
        <f t="shared" si="6"/>
        <v>78</v>
      </c>
    </row>
    <row r="73" spans="3:10" x14ac:dyDescent="0.25">
      <c r="C73" s="3">
        <v>79</v>
      </c>
      <c r="D73" s="3">
        <f t="shared" si="13"/>
        <v>8.8638999999999992</v>
      </c>
      <c r="E73" s="3">
        <f t="shared" si="14"/>
        <v>32.500966666666663</v>
      </c>
      <c r="F73" s="2">
        <f>(0.334*0.5^((C73+5)/6.31))*'EF Adjustment Table'!I$19</f>
        <v>5.0323910684991128E-5</v>
      </c>
      <c r="G73" s="8">
        <f t="shared" si="15"/>
        <v>6.7098547579988163E-2</v>
      </c>
      <c r="H73" s="2">
        <f>IF(Calculator!$E$11='GWP reference values'!$C$6,G73*'GWP reference values'!$D$6/1000,IF(Calculator!$E$11='GWP reference values'!$C$7,G73*'GWP reference values'!$D$7/1000,IF(Calculator!$E$11='GWP reference values'!$C$8,G73*'GWP reference values'!$D$8/1000,"Error")))</f>
        <v>1.8787593322396685E-3</v>
      </c>
      <c r="I73" s="2">
        <f t="shared" si="5"/>
        <v>32.502845425998906</v>
      </c>
      <c r="J73" s="3">
        <f t="shared" si="6"/>
        <v>79</v>
      </c>
    </row>
    <row r="74" spans="3:10" x14ac:dyDescent="0.25">
      <c r="C74" s="3">
        <v>80</v>
      </c>
      <c r="D74" s="3">
        <f t="shared" si="13"/>
        <v>8.9979999999999993</v>
      </c>
      <c r="E74" s="3">
        <f t="shared" si="14"/>
        <v>32.992666666666665</v>
      </c>
      <c r="F74" s="2">
        <f>(0.334*0.5^((C74+5)/6.31))*'EF Adjustment Table'!I$19</f>
        <v>4.5088684958094278E-5</v>
      </c>
      <c r="G74" s="8">
        <f t="shared" si="15"/>
        <v>6.0118246610792375E-2</v>
      </c>
      <c r="H74" s="2">
        <f>IF(Calculator!$E$11='GWP reference values'!$C$6,G74*'GWP reference values'!$D$6/1000,IF(Calculator!$E$11='GWP reference values'!$C$7,G74*'GWP reference values'!$D$7/1000,IF(Calculator!$E$11='GWP reference values'!$C$8,G74*'GWP reference values'!$D$8/1000,"Error")))</f>
        <v>1.6833109051021867E-3</v>
      </c>
      <c r="I74" s="2">
        <f t="shared" si="5"/>
        <v>32.994349977571765</v>
      </c>
      <c r="J74" s="3">
        <f t="shared" si="6"/>
        <v>80</v>
      </c>
    </row>
    <row r="75" spans="3:10" x14ac:dyDescent="0.25">
      <c r="C75" s="3">
        <v>81</v>
      </c>
      <c r="D75" s="3">
        <f t="shared" si="13"/>
        <v>9.1320999999999994</v>
      </c>
      <c r="E75" s="3">
        <f t="shared" si="14"/>
        <v>33.484366666666666</v>
      </c>
      <c r="F75" s="2">
        <f>(0.334*0.5^((C75+5)/6.31))*'EF Adjustment Table'!I$19</f>
        <v>4.0398082811489581E-5</v>
      </c>
      <c r="G75" s="8">
        <f t="shared" si="15"/>
        <v>5.3864110415319438E-2</v>
      </c>
      <c r="H75" s="2">
        <f>IF(Calculator!$E$11='GWP reference values'!$C$6,G75*'GWP reference values'!$D$6/1000,IF(Calculator!$E$11='GWP reference values'!$C$7,G75*'GWP reference values'!$D$7/1000,IF(Calculator!$E$11='GWP reference values'!$C$8,G75*'GWP reference values'!$D$8/1000,"Error")))</f>
        <v>1.5081950916289442E-3</v>
      </c>
      <c r="I75" s="2">
        <f t="shared" ref="I75:I94" si="16">SUM(H75,E75)</f>
        <v>33.485874861758298</v>
      </c>
      <c r="J75" s="3">
        <f t="shared" ref="J75:J94" si="17">C75</f>
        <v>81</v>
      </c>
    </row>
    <row r="76" spans="3:10" x14ac:dyDescent="0.25">
      <c r="C76" s="3">
        <v>82</v>
      </c>
      <c r="D76" s="3">
        <f t="shared" si="13"/>
        <v>9.2661999999999995</v>
      </c>
      <c r="E76" s="3">
        <f t="shared" si="14"/>
        <v>33.976066666666668</v>
      </c>
      <c r="F76" s="2">
        <f>(0.334*0.5^((C76+5)/6.31))*'EF Adjustment Table'!I$19</f>
        <v>3.6195446737042095E-5</v>
      </c>
      <c r="G76" s="8">
        <f t="shared" si="15"/>
        <v>4.8260595649389455E-2</v>
      </c>
      <c r="H76" s="2">
        <f>IF(Calculator!$E$11='GWP reference values'!$C$6,G76*'GWP reference values'!$D$6/1000,IF(Calculator!$E$11='GWP reference values'!$C$7,G76*'GWP reference values'!$D$7/1000,IF(Calculator!$E$11='GWP reference values'!$C$8,G76*'GWP reference values'!$D$8/1000,"Error")))</f>
        <v>1.3512966781829047E-3</v>
      </c>
      <c r="I76" s="2">
        <f t="shared" si="16"/>
        <v>33.977417963344848</v>
      </c>
      <c r="J76" s="3">
        <f t="shared" si="17"/>
        <v>82</v>
      </c>
    </row>
    <row r="77" spans="3:10" x14ac:dyDescent="0.25">
      <c r="C77" s="3">
        <v>83</v>
      </c>
      <c r="D77" s="3">
        <f t="shared" si="13"/>
        <v>9.4002999999999997</v>
      </c>
      <c r="E77" s="3">
        <f t="shared" si="14"/>
        <v>34.467766666666662</v>
      </c>
      <c r="F77" s="2">
        <f>(0.334*0.5^((C77+5)/6.31))*'EF Adjustment Table'!I$19</f>
        <v>3.2430013340173766E-5</v>
      </c>
      <c r="G77" s="8">
        <f t="shared" si="15"/>
        <v>4.3240017786898351E-2</v>
      </c>
      <c r="H77" s="2">
        <f>IF(Calculator!$E$11='GWP reference values'!$C$6,G77*'GWP reference values'!$D$6/1000,IF(Calculator!$E$11='GWP reference values'!$C$7,G77*'GWP reference values'!$D$7/1000,IF(Calculator!$E$11='GWP reference values'!$C$8,G77*'GWP reference values'!$D$8/1000,"Error")))</f>
        <v>1.2107204980331538E-3</v>
      </c>
      <c r="I77" s="2">
        <f t="shared" si="16"/>
        <v>34.468977387164692</v>
      </c>
      <c r="J77" s="3">
        <f t="shared" si="17"/>
        <v>83</v>
      </c>
    </row>
    <row r="78" spans="3:10" x14ac:dyDescent="0.25">
      <c r="C78" s="3">
        <v>84</v>
      </c>
      <c r="D78" s="3">
        <f t="shared" si="13"/>
        <v>9.5343999999999998</v>
      </c>
      <c r="E78" s="3">
        <f t="shared" si="14"/>
        <v>34.959466666666664</v>
      </c>
      <c r="F78" s="2">
        <f>(0.334*0.5^((C78+5)/6.31))*'EF Adjustment Table'!I$19</f>
        <v>2.9056300171798738E-5</v>
      </c>
      <c r="G78" s="8">
        <f t="shared" si="15"/>
        <v>3.8741733562398316E-2</v>
      </c>
      <c r="H78" s="2">
        <f>IF(Calculator!$E$11='GWP reference values'!$C$6,G78*'GWP reference values'!$D$6/1000,IF(Calculator!$E$11='GWP reference values'!$C$7,G78*'GWP reference values'!$D$7/1000,IF(Calculator!$E$11='GWP reference values'!$C$8,G78*'GWP reference values'!$D$8/1000,"Error")))</f>
        <v>1.0847685397471528E-3</v>
      </c>
      <c r="I78" s="2">
        <f t="shared" si="16"/>
        <v>34.960551435206412</v>
      </c>
      <c r="J78" s="3">
        <f t="shared" si="17"/>
        <v>84</v>
      </c>
    </row>
    <row r="79" spans="3:10" x14ac:dyDescent="0.25">
      <c r="C79" s="3">
        <v>85</v>
      </c>
      <c r="D79" s="3">
        <f t="shared" si="13"/>
        <v>9.6684999999999999</v>
      </c>
      <c r="E79" s="3">
        <f t="shared" si="14"/>
        <v>35.451166666666666</v>
      </c>
      <c r="F79" s="2">
        <f>(0.334*0.5^((C79+5)/6.31))*'EF Adjustment Table'!I$19</f>
        <v>2.6033556348489189E-5</v>
      </c>
      <c r="G79" s="8">
        <f t="shared" si="15"/>
        <v>3.4711408464652253E-2</v>
      </c>
      <c r="H79" s="2">
        <f>IF(Calculator!$E$11='GWP reference values'!$C$6,G79*'GWP reference values'!$D$6/1000,IF(Calculator!$E$11='GWP reference values'!$C$7,G79*'GWP reference values'!$D$7/1000,IF(Calculator!$E$11='GWP reference values'!$C$8,G79*'GWP reference values'!$D$8/1000,"Error")))</f>
        <v>9.7191943701026306E-4</v>
      </c>
      <c r="I79" s="2">
        <f t="shared" si="16"/>
        <v>35.452138586103679</v>
      </c>
      <c r="J79" s="3">
        <f t="shared" si="17"/>
        <v>85</v>
      </c>
    </row>
    <row r="80" spans="3:10" x14ac:dyDescent="0.25">
      <c r="C80" s="3">
        <v>86</v>
      </c>
      <c r="D80" s="3">
        <f t="shared" si="13"/>
        <v>9.8026</v>
      </c>
      <c r="E80" s="3">
        <f t="shared" si="14"/>
        <v>35.942866666666667</v>
      </c>
      <c r="F80" s="2">
        <f>(0.334*0.5^((C80+5)/6.31))*'EF Adjustment Table'!I$19</f>
        <v>2.3325270324945399E-5</v>
      </c>
      <c r="G80" s="8">
        <f t="shared" si="15"/>
        <v>3.1100360433260532E-2</v>
      </c>
      <c r="H80" s="2">
        <f>IF(Calculator!$E$11='GWP reference values'!$C$6,G80*'GWP reference values'!$D$6/1000,IF(Calculator!$E$11='GWP reference values'!$C$7,G80*'GWP reference values'!$D$7/1000,IF(Calculator!$E$11='GWP reference values'!$C$8,G80*'GWP reference values'!$D$8/1000,"Error")))</f>
        <v>8.7081009213129485E-4</v>
      </c>
      <c r="I80" s="2">
        <f t="shared" si="16"/>
        <v>35.943737476758798</v>
      </c>
      <c r="J80" s="3">
        <f t="shared" si="17"/>
        <v>86</v>
      </c>
    </row>
    <row r="81" spans="2:10" x14ac:dyDescent="0.25">
      <c r="C81" s="3">
        <v>87</v>
      </c>
      <c r="D81" s="3">
        <f t="shared" si="13"/>
        <v>9.9367000000000001</v>
      </c>
      <c r="E81" s="3">
        <f t="shared" si="14"/>
        <v>36.434566666666669</v>
      </c>
      <c r="F81" s="2">
        <f>(0.334*0.5^((C81+5)/6.31))*'EF Adjustment Table'!I$19</f>
        <v>2.0898728873181878E-5</v>
      </c>
      <c r="G81" s="8">
        <f t="shared" si="15"/>
        <v>2.7864971830909174E-2</v>
      </c>
      <c r="H81" s="2">
        <f>IF(Calculator!$E$11='GWP reference values'!$C$6,G81*'GWP reference values'!$D$6/1000,IF(Calculator!$E$11='GWP reference values'!$C$7,G81*'GWP reference values'!$D$7/1000,IF(Calculator!$E$11='GWP reference values'!$C$8,G81*'GWP reference values'!$D$8/1000,"Error")))</f>
        <v>7.8021921126545692E-4</v>
      </c>
      <c r="I81" s="2">
        <f t="shared" si="16"/>
        <v>36.435346885877934</v>
      </c>
      <c r="J81" s="3">
        <f t="shared" si="17"/>
        <v>87</v>
      </c>
    </row>
    <row r="82" spans="2:10" x14ac:dyDescent="0.25">
      <c r="C82" s="3">
        <v>88</v>
      </c>
      <c r="D82" s="3">
        <f t="shared" si="13"/>
        <v>10.070799999999998</v>
      </c>
      <c r="E82" s="3">
        <f t="shared" si="14"/>
        <v>36.926266666666656</v>
      </c>
      <c r="F82" s="2">
        <f>(0.334*0.5^((C82+5)/6.31))*'EF Adjustment Table'!I$19</f>
        <v>1.8724621941366005E-5</v>
      </c>
      <c r="G82" s="8">
        <f t="shared" si="15"/>
        <v>2.4966162588488008E-2</v>
      </c>
      <c r="H82" s="2">
        <f>IF(Calculator!$E$11='GWP reference values'!$C$6,G82*'GWP reference values'!$D$6/1000,IF(Calculator!$E$11='GWP reference values'!$C$7,G82*'GWP reference values'!$D$7/1000,IF(Calculator!$E$11='GWP reference values'!$C$8,G82*'GWP reference values'!$D$8/1000,"Error")))</f>
        <v>6.9905255247766434E-4</v>
      </c>
      <c r="I82" s="2">
        <f t="shared" si="16"/>
        <v>36.926965719219133</v>
      </c>
      <c r="J82" s="3">
        <f t="shared" si="17"/>
        <v>88</v>
      </c>
    </row>
    <row r="83" spans="2:10" x14ac:dyDescent="0.25">
      <c r="C83" s="3">
        <v>89</v>
      </c>
      <c r="D83" s="3">
        <f t="shared" si="13"/>
        <v>10.204899999999999</v>
      </c>
      <c r="E83" s="3">
        <f t="shared" si="14"/>
        <v>37.417966666666658</v>
      </c>
      <c r="F83" s="2">
        <f>(0.334*0.5^((C83+5)/6.31))*'EF Adjustment Table'!I$19</f>
        <v>1.6776688619421437E-5</v>
      </c>
      <c r="G83" s="8">
        <f t="shared" si="15"/>
        <v>2.236891815922858E-2</v>
      </c>
      <c r="H83" s="2">
        <f>IF(Calculator!$E$11='GWP reference values'!$C$6,G83*'GWP reference values'!$D$6/1000,IF(Calculator!$E$11='GWP reference values'!$C$7,G83*'GWP reference values'!$D$7/1000,IF(Calculator!$E$11='GWP reference values'!$C$8,G83*'GWP reference values'!$D$8/1000,"Error")))</f>
        <v>6.2632970845840014E-4</v>
      </c>
      <c r="I83" s="2">
        <f t="shared" si="16"/>
        <v>37.418592996375118</v>
      </c>
      <c r="J83" s="3">
        <f t="shared" si="17"/>
        <v>89</v>
      </c>
    </row>
    <row r="84" spans="2:10" x14ac:dyDescent="0.25">
      <c r="C84" s="3">
        <v>90</v>
      </c>
      <c r="D84" s="3">
        <f t="shared" si="13"/>
        <v>10.338999999999999</v>
      </c>
      <c r="E84" s="3">
        <f t="shared" si="14"/>
        <v>37.909666666666666</v>
      </c>
      <c r="F84" s="2">
        <f>(0.334*0.5^((C84+5)/6.31))*'EF Adjustment Table'!I$19</f>
        <v>1.5031399935036139E-5</v>
      </c>
      <c r="G84" s="8">
        <f t="shared" si="15"/>
        <v>2.0041866580048185E-2</v>
      </c>
      <c r="H84" s="2">
        <f>IF(Calculator!$E$11='GWP reference values'!$C$6,G84*'GWP reference values'!$D$6/1000,IF(Calculator!$E$11='GWP reference values'!$C$7,G84*'GWP reference values'!$D$7/1000,IF(Calculator!$E$11='GWP reference values'!$C$8,G84*'GWP reference values'!$D$8/1000,"Error")))</f>
        <v>5.6117226424134915E-4</v>
      </c>
      <c r="I84" s="2">
        <f t="shared" si="16"/>
        <v>37.910227838930908</v>
      </c>
      <c r="J84" s="3">
        <f t="shared" si="17"/>
        <v>90</v>
      </c>
    </row>
    <row r="85" spans="2:10" x14ac:dyDescent="0.25">
      <c r="C85" s="3">
        <v>91</v>
      </c>
      <c r="D85" s="3">
        <f t="shared" si="13"/>
        <v>10.473099999999999</v>
      </c>
      <c r="E85" s="3">
        <f t="shared" si="14"/>
        <v>38.401366666666661</v>
      </c>
      <c r="F85" s="2">
        <f>(0.334*0.5^((C85+5)/6.31))*'EF Adjustment Table'!I$19</f>
        <v>1.3467674648586062E-5</v>
      </c>
      <c r="G85" s="8">
        <f t="shared" si="15"/>
        <v>1.7956899531448082E-2</v>
      </c>
      <c r="H85" s="2">
        <f>IF(Calculator!$E$11='GWP reference values'!$C$6,G85*'GWP reference values'!$D$6/1000,IF(Calculator!$E$11='GWP reference values'!$C$7,G85*'GWP reference values'!$D$7/1000,IF(Calculator!$E$11='GWP reference values'!$C$8,G85*'GWP reference values'!$D$8/1000,"Error")))</f>
        <v>5.0279318688054627E-4</v>
      </c>
      <c r="I85" s="2">
        <f t="shared" si="16"/>
        <v>38.401869459853543</v>
      </c>
      <c r="J85" s="3">
        <f t="shared" si="17"/>
        <v>91</v>
      </c>
    </row>
    <row r="86" spans="2:10" x14ac:dyDescent="0.25">
      <c r="C86" s="3">
        <v>92</v>
      </c>
      <c r="D86" s="3">
        <f t="shared" si="13"/>
        <v>10.607199999999999</v>
      </c>
      <c r="E86" s="3">
        <f t="shared" si="14"/>
        <v>38.893066666666662</v>
      </c>
      <c r="F86" s="2">
        <f>(0.334*0.5^((C86+5)/6.31))*'EF Adjustment Table'!I$19</f>
        <v>1.206662461407868E-5</v>
      </c>
      <c r="G86" s="8">
        <f t="shared" si="15"/>
        <v>1.6088832818771572E-2</v>
      </c>
      <c r="H86" s="2">
        <f>IF(Calculator!$E$11='GWP reference values'!$C$6,G86*'GWP reference values'!$D$6/1000,IF(Calculator!$E$11='GWP reference values'!$C$7,G86*'GWP reference values'!$D$7/1000,IF(Calculator!$E$11='GWP reference values'!$C$8,G86*'GWP reference values'!$D$8/1000,"Error")))</f>
        <v>4.5048731892560398E-4</v>
      </c>
      <c r="I86" s="2">
        <f t="shared" si="16"/>
        <v>38.893517153985592</v>
      </c>
      <c r="J86" s="3">
        <f t="shared" si="17"/>
        <v>92</v>
      </c>
    </row>
    <row r="87" spans="2:10" x14ac:dyDescent="0.25">
      <c r="C87" s="3">
        <v>93</v>
      </c>
      <c r="D87" s="3">
        <f t="shared" si="13"/>
        <v>10.741299999999999</v>
      </c>
      <c r="E87" s="3">
        <f t="shared" si="14"/>
        <v>39.384766666666664</v>
      </c>
      <c r="F87" s="2">
        <f>(0.334*0.5^((C87+5)/6.31))*'EF Adjustment Table'!I$19</f>
        <v>1.0811326630345628E-5</v>
      </c>
      <c r="G87" s="8">
        <f t="shared" si="15"/>
        <v>1.4415102173794171E-2</v>
      </c>
      <c r="H87" s="2">
        <f>IF(Calculator!$E$11='GWP reference values'!$C$6,G87*'GWP reference values'!$D$6/1000,IF(Calculator!$E$11='GWP reference values'!$C$7,G87*'GWP reference values'!$D$7/1000,IF(Calculator!$E$11='GWP reference values'!$C$8,G87*'GWP reference values'!$D$8/1000,"Error")))</f>
        <v>4.0362286086623677E-4</v>
      </c>
      <c r="I87" s="2">
        <f t="shared" si="16"/>
        <v>39.38517028952753</v>
      </c>
      <c r="J87" s="3">
        <f t="shared" si="17"/>
        <v>93</v>
      </c>
    </row>
    <row r="88" spans="2:10" x14ac:dyDescent="0.25">
      <c r="C88" s="3">
        <v>94</v>
      </c>
      <c r="D88" s="3">
        <f t="shared" si="13"/>
        <v>10.875399999999999</v>
      </c>
      <c r="E88" s="3">
        <f t="shared" si="14"/>
        <v>39.876466666666659</v>
      </c>
      <c r="F88" s="2">
        <f>(0.334*0.5^((C88+5)/6.31))*'EF Adjustment Table'!I$19</f>
        <v>9.6866180266887535E-6</v>
      </c>
      <c r="G88" s="8">
        <f t="shared" si="15"/>
        <v>1.291549070225167E-2</v>
      </c>
      <c r="H88" s="2">
        <f>IF(Calculator!$E$11='GWP reference values'!$C$6,G88*'GWP reference values'!$D$6/1000,IF(Calculator!$E$11='GWP reference values'!$C$7,G88*'GWP reference values'!$D$7/1000,IF(Calculator!$E$11='GWP reference values'!$C$8,G88*'GWP reference values'!$D$8/1000,"Error")))</f>
        <v>3.6163373966304673E-4</v>
      </c>
      <c r="I88" s="2">
        <f t="shared" si="16"/>
        <v>39.876828300406324</v>
      </c>
      <c r="J88" s="3">
        <f t="shared" si="17"/>
        <v>94</v>
      </c>
    </row>
    <row r="89" spans="2:10" x14ac:dyDescent="0.25">
      <c r="C89" s="3">
        <v>95</v>
      </c>
      <c r="D89" s="3">
        <f t="shared" si="13"/>
        <v>11.009499999999999</v>
      </c>
      <c r="E89" s="3">
        <f t="shared" si="14"/>
        <v>40.368166666666667</v>
      </c>
      <c r="F89" s="2">
        <f>(0.334*0.5^((C89+5)/6.31))*'EF Adjustment Table'!I$19</f>
        <v>8.678913513870208E-6</v>
      </c>
      <c r="G89" s="8">
        <f t="shared" si="15"/>
        <v>1.1571884685160279E-2</v>
      </c>
      <c r="H89" s="2">
        <f>IF(Calculator!$E$11='GWP reference values'!$C$6,G89*'GWP reference values'!$D$6/1000,IF(Calculator!$E$11='GWP reference values'!$C$7,G89*'GWP reference values'!$D$7/1000,IF(Calculator!$E$11='GWP reference values'!$C$8,G89*'GWP reference values'!$D$8/1000,"Error")))</f>
        <v>3.2401277118448778E-4</v>
      </c>
      <c r="I89" s="2">
        <f t="shared" si="16"/>
        <v>40.368490679437855</v>
      </c>
      <c r="J89" s="3">
        <f t="shared" si="17"/>
        <v>95</v>
      </c>
    </row>
    <row r="90" spans="2:10" x14ac:dyDescent="0.25">
      <c r="C90" s="3">
        <v>96</v>
      </c>
      <c r="D90" s="3">
        <f t="shared" si="13"/>
        <v>11.143599999999999</v>
      </c>
      <c r="E90" s="3">
        <f t="shared" si="14"/>
        <v>40.859866666666669</v>
      </c>
      <c r="F90" s="2">
        <f>(0.334*0.5^((C90+5)/6.31))*'EF Adjustment Table'!I$19</f>
        <v>7.7760410882008617E-6</v>
      </c>
      <c r="G90" s="8">
        <f t="shared" si="15"/>
        <v>1.0368054784267815E-2</v>
      </c>
      <c r="H90" s="2">
        <f>IF(Calculator!$E$11='GWP reference values'!$C$6,G90*'GWP reference values'!$D$6/1000,IF(Calculator!$E$11='GWP reference values'!$C$7,G90*'GWP reference values'!$D$7/1000,IF(Calculator!$E$11='GWP reference values'!$C$8,G90*'GWP reference values'!$D$8/1000,"Error")))</f>
        <v>2.9030553395949883E-4</v>
      </c>
      <c r="I90" s="2">
        <f t="shared" si="16"/>
        <v>40.860156972200627</v>
      </c>
      <c r="J90" s="3">
        <f t="shared" si="17"/>
        <v>96</v>
      </c>
    </row>
    <row r="91" spans="2:10" x14ac:dyDescent="0.25">
      <c r="C91" s="3">
        <v>97</v>
      </c>
      <c r="D91" s="3">
        <f t="shared" si="13"/>
        <v>11.277699999999999</v>
      </c>
      <c r="E91" s="3">
        <f t="shared" si="14"/>
        <v>41.351566666666663</v>
      </c>
      <c r="F91" s="2">
        <f>(0.334*0.5^((C91+5)/6.31))*'EF Adjustment Table'!I$19</f>
        <v>6.9670950066218421E-6</v>
      </c>
      <c r="G91" s="8">
        <f t="shared" si="15"/>
        <v>9.2894600088291226E-3</v>
      </c>
      <c r="H91" s="2">
        <f>IF(Calculator!$E$11='GWP reference values'!$C$6,G91*'GWP reference values'!$D$6/1000,IF(Calculator!$E$11='GWP reference values'!$C$7,G91*'GWP reference values'!$D$7/1000,IF(Calculator!$E$11='GWP reference values'!$C$8,G91*'GWP reference values'!$D$8/1000,"Error")))</f>
        <v>2.6010488024721544E-4</v>
      </c>
      <c r="I91" s="2">
        <f t="shared" si="16"/>
        <v>41.351826771546911</v>
      </c>
      <c r="J91" s="3">
        <f t="shared" si="17"/>
        <v>97</v>
      </c>
    </row>
    <row r="92" spans="2:10" x14ac:dyDescent="0.25">
      <c r="C92" s="3">
        <v>98</v>
      </c>
      <c r="D92" s="3">
        <f t="shared" si="13"/>
        <v>11.411799999999999</v>
      </c>
      <c r="E92" s="3">
        <f t="shared" si="14"/>
        <v>41.843266666666665</v>
      </c>
      <c r="F92" s="2">
        <f>(0.334*0.5^((C92+5)/6.31))*'EF Adjustment Table'!I$19</f>
        <v>6.2423040568739921E-6</v>
      </c>
      <c r="G92" s="8">
        <f t="shared" si="15"/>
        <v>8.3230720758319891E-3</v>
      </c>
      <c r="H92" s="2">
        <f>IF(Calculator!$E$11='GWP reference values'!$C$6,G92*'GWP reference values'!$D$6/1000,IF(Calculator!$E$11='GWP reference values'!$C$7,G92*'GWP reference values'!$D$7/1000,IF(Calculator!$E$11='GWP reference values'!$C$8,G92*'GWP reference values'!$D$8/1000,"Error")))</f>
        <v>2.3304601812329569E-4</v>
      </c>
      <c r="I92" s="2">
        <f t="shared" si="16"/>
        <v>41.843499712684789</v>
      </c>
      <c r="J92" s="3">
        <f t="shared" si="17"/>
        <v>98</v>
      </c>
    </row>
    <row r="93" spans="2:10" x14ac:dyDescent="0.25">
      <c r="C93" s="3">
        <v>99</v>
      </c>
      <c r="D93" s="3">
        <f t="shared" si="13"/>
        <v>11.5459</v>
      </c>
      <c r="E93" s="3">
        <f t="shared" si="14"/>
        <v>42.334966666666666</v>
      </c>
      <c r="F93" s="2">
        <f>(0.334*0.5^((C93+5)/6.31))*'EF Adjustment Table'!I$19</f>
        <v>5.5929135315981919E-6</v>
      </c>
      <c r="G93" s="8">
        <f t="shared" si="15"/>
        <v>7.4572180421309227E-3</v>
      </c>
      <c r="H93" s="2">
        <f>IF(Calculator!$E$11='GWP reference values'!$C$6,G93*'GWP reference values'!$D$6/1000,IF(Calculator!$E$11='GWP reference values'!$C$7,G93*'GWP reference values'!$D$7/1000,IF(Calculator!$E$11='GWP reference values'!$C$8,G93*'GWP reference values'!$D$8/1000,"Error")))</f>
        <v>2.0880210517966582E-4</v>
      </c>
      <c r="I93" s="2">
        <f t="shared" si="16"/>
        <v>42.335175468771844</v>
      </c>
      <c r="J93" s="3">
        <f t="shared" si="17"/>
        <v>99</v>
      </c>
    </row>
    <row r="94" spans="2:10" x14ac:dyDescent="0.25">
      <c r="B94" s="4"/>
      <c r="C94" s="14">
        <v>100</v>
      </c>
      <c r="D94" s="14">
        <f t="shared" si="0"/>
        <v>11.68</v>
      </c>
      <c r="E94" s="14">
        <f t="shared" si="1"/>
        <v>42.826666666666661</v>
      </c>
      <c r="F94" s="15">
        <f>(0.334*0.5^((C94+5)/6.31))*'EF Adjustment Table'!I$19</f>
        <v>5.0110794807388527E-6</v>
      </c>
      <c r="G94" s="16">
        <f t="shared" si="2"/>
        <v>6.6814393076518042E-3</v>
      </c>
      <c r="H94" s="15">
        <f>IF(Calculator!$E$11='GWP reference values'!$C$6,G94*'GWP reference values'!$D$6/1000,IF(Calculator!$E$11='GWP reference values'!$C$7,G94*'GWP reference values'!$D$7/1000,IF(Calculator!$E$11='GWP reference values'!$C$8,G94*'GWP reference values'!$D$8/1000,"Error")))</f>
        <v>1.8708030061425051E-4</v>
      </c>
      <c r="I94" s="15">
        <f t="shared" si="16"/>
        <v>42.826853746967274</v>
      </c>
      <c r="J94" s="14">
        <f t="shared" si="17"/>
        <v>100</v>
      </c>
    </row>
    <row r="96" spans="2:10" x14ac:dyDescent="0.25">
      <c r="B96" t="s">
        <v>267</v>
      </c>
    </row>
    <row r="97" spans="2:2" x14ac:dyDescent="0.25">
      <c r="B97" t="s">
        <v>268</v>
      </c>
    </row>
  </sheetData>
  <pageMargins left="0.7" right="0.7" top="0.75" bottom="0.75" header="0.3" footer="0.3"/>
  <pageSetup paperSize="9" orientation="portrait" horizontalDpi="360" verticalDpi="36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3:J97"/>
  <sheetViews>
    <sheetView workbookViewId="0">
      <selection activeCell="G8" sqref="G8"/>
    </sheetView>
  </sheetViews>
  <sheetFormatPr defaultRowHeight="15" x14ac:dyDescent="0.25"/>
  <cols>
    <col min="2" max="2" width="14.42578125" customWidth="1"/>
    <col min="3" max="3" width="12.140625" customWidth="1"/>
    <col min="5" max="5" width="12.140625" customWidth="1"/>
    <col min="6" max="6" width="12.85546875" customWidth="1"/>
    <col min="7" max="7" width="13.42578125" customWidth="1"/>
    <col min="8" max="9" width="13.28515625" bestFit="1" customWidth="1"/>
  </cols>
  <sheetData>
    <row r="3" spans="2:10" ht="15.75" x14ac:dyDescent="0.25">
      <c r="B3" s="13" t="s">
        <v>195</v>
      </c>
      <c r="C3" s="1"/>
      <c r="D3" s="1"/>
      <c r="E3" s="1"/>
    </row>
    <row r="5" spans="2:10" x14ac:dyDescent="0.25">
      <c r="B5" s="5"/>
      <c r="C5" s="6" t="s">
        <v>244</v>
      </c>
      <c r="D5" s="6" t="s">
        <v>245</v>
      </c>
      <c r="E5" s="6"/>
      <c r="F5" s="6" t="s">
        <v>246</v>
      </c>
      <c r="G5" s="5"/>
      <c r="H5" s="5"/>
      <c r="I5" s="6" t="s">
        <v>247</v>
      </c>
      <c r="J5" s="6" t="s">
        <v>244</v>
      </c>
    </row>
    <row r="6" spans="2:10" x14ac:dyDescent="0.25">
      <c r="B6" s="4"/>
      <c r="C6" s="4" t="s">
        <v>165</v>
      </c>
      <c r="D6" s="4" t="s">
        <v>164</v>
      </c>
      <c r="E6" s="4" t="s">
        <v>193</v>
      </c>
      <c r="F6" s="4" t="s">
        <v>164</v>
      </c>
      <c r="G6" s="4" t="s">
        <v>166</v>
      </c>
      <c r="H6" s="4" t="s">
        <v>69</v>
      </c>
      <c r="I6" s="4" t="s">
        <v>69</v>
      </c>
      <c r="J6" s="4" t="s">
        <v>165</v>
      </c>
    </row>
    <row r="7" spans="2:10" x14ac:dyDescent="0.25">
      <c r="B7" s="9" t="s">
        <v>248</v>
      </c>
      <c r="C7" s="10">
        <f>'EF Adjustment Table'!$D$20</f>
        <v>67.934377330350486</v>
      </c>
      <c r="D7" s="10">
        <f>0.1341*C7-1.73</f>
        <v>7.379999999999999</v>
      </c>
      <c r="E7" s="10">
        <f>D7/12*44</f>
        <v>27.059999999999995</v>
      </c>
      <c r="F7" s="11">
        <f>(0.334*0.5^((C7+5)/6.31))*'EF Adjustment Table'!I$20</f>
        <v>1.6969927394541338E-4</v>
      </c>
      <c r="G7" s="12">
        <f>F7*1000*16/12</f>
        <v>0.22626569859388448</v>
      </c>
      <c r="H7" s="2">
        <f>IF(Calculator!$E$11='GWP reference values'!$C$6,G7*'GWP reference values'!$D$6/1000,IF(Calculator!$E$11='GWP reference values'!$C$7,G7*'GWP reference values'!$D$7/1000,IF(Calculator!$E$11='GWP reference values'!$C$8,G7*'GWP reference values'!$D$8/1000,"Error")))</f>
        <v>6.3354395606287656E-3</v>
      </c>
      <c r="I7" s="74">
        <f>SUM(H7,E7)</f>
        <v>27.066335439560625</v>
      </c>
      <c r="J7" s="75">
        <f>C7</f>
        <v>67.934377330350486</v>
      </c>
    </row>
    <row r="8" spans="2:10" x14ac:dyDescent="0.25">
      <c r="B8" s="1" t="s">
        <v>249</v>
      </c>
      <c r="C8" s="3">
        <v>14</v>
      </c>
      <c r="D8" s="3">
        <f t="shared" ref="D8:D94" si="0">0.1341*C8-1.73</f>
        <v>0.14739999999999998</v>
      </c>
      <c r="E8" s="3">
        <f t="shared" ref="E8:E94" si="1">D8/12*44</f>
        <v>0.54046666666666665</v>
      </c>
      <c r="F8" s="2">
        <f>(0.334*0.5^((C8+5)/6.31))*'EF Adjustment Table'!I$20</f>
        <v>6.3491748302507034E-2</v>
      </c>
      <c r="G8" s="18">
        <f t="shared" ref="G8:G94" si="2">F8*1000*16/12</f>
        <v>84.655664403342712</v>
      </c>
      <c r="H8" s="66">
        <f>IF(Calculator!$E$11='GWP reference values'!$C$6,G8*'GWP reference values'!$D$6/1000,IF(Calculator!$E$11='GWP reference values'!$C$7,G8*'GWP reference values'!$D$7/1000,IF(Calculator!$E$11='GWP reference values'!$C$8,G8*'GWP reference values'!$D$8/1000,"Error")))</f>
        <v>2.3703586032935959</v>
      </c>
      <c r="I8" s="2">
        <f>SUM(H8,E8)</f>
        <v>2.9108252699602626</v>
      </c>
      <c r="J8" s="3">
        <f>C8</f>
        <v>14</v>
      </c>
    </row>
    <row r="9" spans="2:10" x14ac:dyDescent="0.25">
      <c r="C9" s="3">
        <v>15</v>
      </c>
      <c r="D9" s="3">
        <f t="shared" si="0"/>
        <v>0.28149999999999986</v>
      </c>
      <c r="E9" s="3">
        <f t="shared" si="1"/>
        <v>1.032166666666666</v>
      </c>
      <c r="F9" s="2">
        <f>(0.334*0.5^((C9+5)/6.31))*'EF Adjustment Table'!I$20</f>
        <v>5.6886664762008758E-2</v>
      </c>
      <c r="G9" s="18">
        <f t="shared" si="2"/>
        <v>75.848886349345008</v>
      </c>
      <c r="H9" s="2">
        <f>IF(Calculator!$E$11='GWP reference values'!$C$6,G9*'GWP reference values'!$D$6/1000,IF(Calculator!$E$11='GWP reference values'!$C$7,G9*'GWP reference values'!$D$7/1000,IF(Calculator!$E$11='GWP reference values'!$C$8,G9*'GWP reference values'!$D$8/1000,"Error")))</f>
        <v>2.1237688177816603</v>
      </c>
      <c r="I9" s="2">
        <f t="shared" ref="I9:I11" si="3">SUM(H9,E9)</f>
        <v>3.1559354844483263</v>
      </c>
      <c r="J9" s="3">
        <f t="shared" ref="J9:J11" si="4">C9</f>
        <v>15</v>
      </c>
    </row>
    <row r="10" spans="2:10" x14ac:dyDescent="0.25">
      <c r="C10" s="3">
        <v>16</v>
      </c>
      <c r="D10" s="3">
        <f t="shared" si="0"/>
        <v>0.41559999999999997</v>
      </c>
      <c r="E10" s="3">
        <f t="shared" si="1"/>
        <v>1.5238666666666665</v>
      </c>
      <c r="F10" s="2">
        <f>(0.334*0.5^((C10+5)/6.31))*'EF Adjustment Table'!I$20</f>
        <v>5.0968711907676163E-2</v>
      </c>
      <c r="G10" s="18">
        <f t="shared" si="2"/>
        <v>67.958282543568217</v>
      </c>
      <c r="H10" s="2">
        <f>IF(Calculator!$E$11='GWP reference values'!$C$6,G10*'GWP reference values'!$D$6/1000,IF(Calculator!$E$11='GWP reference values'!$C$7,G10*'GWP reference values'!$D$7/1000,IF(Calculator!$E$11='GWP reference values'!$C$8,G10*'GWP reference values'!$D$8/1000,"Error")))</f>
        <v>1.9028319112199101</v>
      </c>
      <c r="I10" s="2">
        <f t="shared" si="3"/>
        <v>3.4266985778865768</v>
      </c>
      <c r="J10" s="3">
        <f t="shared" si="4"/>
        <v>16</v>
      </c>
    </row>
    <row r="11" spans="2:10" x14ac:dyDescent="0.25">
      <c r="C11" s="3">
        <v>17</v>
      </c>
      <c r="D11" s="3">
        <f t="shared" si="0"/>
        <v>0.54970000000000008</v>
      </c>
      <c r="E11" s="3">
        <f t="shared" si="1"/>
        <v>2.015566666666667</v>
      </c>
      <c r="F11" s="2">
        <f>(0.334*0.5^((C11+5)/6.31))*'EF Adjustment Table'!I$20</f>
        <v>4.5666407134183275E-2</v>
      </c>
      <c r="G11" s="18">
        <f t="shared" si="2"/>
        <v>60.888542845577696</v>
      </c>
      <c r="H11" s="2">
        <f>IF(Calculator!$E$11='GWP reference values'!$C$6,G11*'GWP reference values'!$D$6/1000,IF(Calculator!$E$11='GWP reference values'!$C$7,G11*'GWP reference values'!$D$7/1000,IF(Calculator!$E$11='GWP reference values'!$C$8,G11*'GWP reference values'!$D$8/1000,"Error")))</f>
        <v>1.7048791996761754</v>
      </c>
      <c r="I11" s="2">
        <f t="shared" si="3"/>
        <v>3.7204458663428426</v>
      </c>
      <c r="J11" s="3">
        <f t="shared" si="4"/>
        <v>17</v>
      </c>
    </row>
    <row r="12" spans="2:10" x14ac:dyDescent="0.25">
      <c r="C12" s="3">
        <v>18</v>
      </c>
      <c r="D12" s="3">
        <f t="shared" ref="D12:D59" si="5">0.1341*C12-1.73</f>
        <v>0.68380000000000019</v>
      </c>
      <c r="E12" s="3">
        <f t="shared" ref="E12:E59" si="6">D12/12*44</f>
        <v>2.5072666666666676</v>
      </c>
      <c r="F12" s="2">
        <f>(0.334*0.5^((C12+5)/6.31))*'EF Adjustment Table'!I$20</f>
        <v>4.0915704213253044E-2</v>
      </c>
      <c r="G12" s="18">
        <f t="shared" ref="G12:G59" si="7">F12*1000*16/12</f>
        <v>54.554272284337394</v>
      </c>
      <c r="H12" s="2">
        <f>IF(Calculator!$E$11='GWP reference values'!$C$6,G12*'GWP reference values'!$D$6/1000,IF(Calculator!$E$11='GWP reference values'!$C$7,G12*'GWP reference values'!$D$7/1000,IF(Calculator!$E$11='GWP reference values'!$C$8,G12*'GWP reference values'!$D$8/1000,"Error")))</f>
        <v>1.527519623961447</v>
      </c>
      <c r="I12" s="2">
        <f t="shared" ref="I12:I74" si="8">SUM(H12,E12)</f>
        <v>4.0347862906281149</v>
      </c>
      <c r="J12" s="3">
        <f t="shared" ref="J12:J74" si="9">C12</f>
        <v>18</v>
      </c>
    </row>
    <row r="13" spans="2:10" x14ac:dyDescent="0.25">
      <c r="C13" s="3">
        <v>19</v>
      </c>
      <c r="D13" s="3">
        <f t="shared" si="5"/>
        <v>0.81789999999999985</v>
      </c>
      <c r="E13" s="3">
        <f t="shared" si="6"/>
        <v>2.9989666666666661</v>
      </c>
      <c r="F13" s="2">
        <f>(0.334*0.5^((C13+5)/6.31))*'EF Adjustment Table'!I$20</f>
        <v>3.6659219683023422E-2</v>
      </c>
      <c r="G13" s="18">
        <f t="shared" si="7"/>
        <v>48.878959577364562</v>
      </c>
      <c r="H13" s="2">
        <f>IF(Calculator!$E$11='GWP reference values'!$C$6,G13*'GWP reference values'!$D$6/1000,IF(Calculator!$E$11='GWP reference values'!$C$7,G13*'GWP reference values'!$D$7/1000,IF(Calculator!$E$11='GWP reference values'!$C$8,G13*'GWP reference values'!$D$8/1000,"Error")))</f>
        <v>1.3686108681662077</v>
      </c>
      <c r="I13" s="2">
        <f t="shared" si="8"/>
        <v>4.3675775348328738</v>
      </c>
      <c r="J13" s="3">
        <f t="shared" si="9"/>
        <v>19</v>
      </c>
    </row>
    <row r="14" spans="2:10" x14ac:dyDescent="0.25">
      <c r="C14" s="3">
        <v>20</v>
      </c>
      <c r="D14" s="3">
        <f t="shared" si="5"/>
        <v>0.95199999999999996</v>
      </c>
      <c r="E14" s="3">
        <f t="shared" si="6"/>
        <v>3.4906666666666664</v>
      </c>
      <c r="F14" s="2">
        <f>(0.334*0.5^((C14+5)/6.31))*'EF Adjustment Table'!I$20</f>
        <v>3.2845539716578276E-2</v>
      </c>
      <c r="G14" s="18">
        <f t="shared" si="7"/>
        <v>43.794052955437699</v>
      </c>
      <c r="H14" s="2">
        <f>IF(Calculator!$E$11='GWP reference values'!$C$6,G14*'GWP reference values'!$D$6/1000,IF(Calculator!$E$11='GWP reference values'!$C$7,G14*'GWP reference values'!$D$7/1000,IF(Calculator!$E$11='GWP reference values'!$C$8,G14*'GWP reference values'!$D$8/1000,"Error")))</f>
        <v>1.2262334827522556</v>
      </c>
      <c r="I14" s="2">
        <f t="shared" si="8"/>
        <v>4.7169001494189224</v>
      </c>
      <c r="J14" s="3">
        <f t="shared" si="9"/>
        <v>20</v>
      </c>
    </row>
    <row r="15" spans="2:10" x14ac:dyDescent="0.25">
      <c r="C15" s="3">
        <v>21</v>
      </c>
      <c r="D15" s="3">
        <f t="shared" si="5"/>
        <v>1.0861000000000001</v>
      </c>
      <c r="E15" s="3">
        <f t="shared" si="6"/>
        <v>3.9823666666666671</v>
      </c>
      <c r="F15" s="2">
        <f>(0.334*0.5^((C15+5)/6.31))*'EF Adjustment Table'!I$20</f>
        <v>2.9428599097348428E-2</v>
      </c>
      <c r="G15" s="18">
        <f t="shared" si="7"/>
        <v>39.238132129797904</v>
      </c>
      <c r="H15" s="2">
        <f>IF(Calculator!$E$11='GWP reference values'!$C$6,G15*'GWP reference values'!$D$6/1000,IF(Calculator!$E$11='GWP reference values'!$C$7,G15*'GWP reference values'!$D$7/1000,IF(Calculator!$E$11='GWP reference values'!$C$8,G15*'GWP reference values'!$D$8/1000,"Error")))</f>
        <v>1.0986676996343412</v>
      </c>
      <c r="I15" s="2">
        <f t="shared" si="8"/>
        <v>5.081034366301008</v>
      </c>
      <c r="J15" s="3">
        <f t="shared" si="9"/>
        <v>21</v>
      </c>
    </row>
    <row r="16" spans="2:10" x14ac:dyDescent="0.25">
      <c r="C16" s="3">
        <v>22</v>
      </c>
      <c r="D16" s="3">
        <f t="shared" si="5"/>
        <v>1.2201999999999997</v>
      </c>
      <c r="E16" s="3">
        <f t="shared" si="6"/>
        <v>4.4740666666666655</v>
      </c>
      <c r="F16" s="2">
        <f>(0.334*0.5^((C16+5)/6.31))*'EF Adjustment Table'!I$20</f>
        <v>2.6367124800063344E-2</v>
      </c>
      <c r="G16" s="18">
        <f t="shared" si="7"/>
        <v>35.156166400084459</v>
      </c>
      <c r="H16" s="2">
        <f>IF(Calculator!$E$11='GWP reference values'!$C$6,G16*'GWP reference values'!$D$6/1000,IF(Calculator!$E$11='GWP reference values'!$C$7,G16*'GWP reference values'!$D$7/1000,IF(Calculator!$E$11='GWP reference values'!$C$8,G16*'GWP reference values'!$D$8/1000,"Error")))</f>
        <v>0.98437265920236483</v>
      </c>
      <c r="I16" s="2">
        <f t="shared" si="8"/>
        <v>5.4584393258690307</v>
      </c>
      <c r="J16" s="3">
        <f t="shared" si="9"/>
        <v>22</v>
      </c>
    </row>
    <row r="17" spans="3:10" x14ac:dyDescent="0.25">
      <c r="C17" s="3">
        <v>23</v>
      </c>
      <c r="D17" s="3">
        <f t="shared" si="5"/>
        <v>1.3542999999999998</v>
      </c>
      <c r="E17" s="3">
        <f t="shared" si="6"/>
        <v>4.9657666666666662</v>
      </c>
      <c r="F17" s="2">
        <f>(0.334*0.5^((C17+5)/6.31))*'EF Adjustment Table'!I$20</f>
        <v>2.3624137456300348E-2</v>
      </c>
      <c r="G17" s="18">
        <f t="shared" si="7"/>
        <v>31.498849941733798</v>
      </c>
      <c r="H17" s="2">
        <f>IF(Calculator!$E$11='GWP reference values'!$C$6,G17*'GWP reference values'!$D$6/1000,IF(Calculator!$E$11='GWP reference values'!$C$7,G17*'GWP reference values'!$D$7/1000,IF(Calculator!$E$11='GWP reference values'!$C$8,G17*'GWP reference values'!$D$8/1000,"Error")))</f>
        <v>0.88196779836854633</v>
      </c>
      <c r="I17" s="2">
        <f t="shared" si="8"/>
        <v>5.847734465035213</v>
      </c>
      <c r="J17" s="3">
        <f t="shared" si="9"/>
        <v>23</v>
      </c>
    </row>
    <row r="18" spans="3:10" x14ac:dyDescent="0.25">
      <c r="C18" s="3">
        <v>24</v>
      </c>
      <c r="D18" s="3">
        <f t="shared" si="5"/>
        <v>1.4883999999999999</v>
      </c>
      <c r="E18" s="3">
        <f t="shared" si="6"/>
        <v>5.4574666666666669</v>
      </c>
      <c r="F18" s="2">
        <f>(0.334*0.5^((C18+5)/6.31))*'EF Adjustment Table'!I$20</f>
        <v>2.116650468286297E-2</v>
      </c>
      <c r="G18" s="18">
        <f t="shared" si="7"/>
        <v>28.222006243817294</v>
      </c>
      <c r="H18" s="2">
        <f>IF(Calculator!$E$11='GWP reference values'!$C$6,G18*'GWP reference values'!$D$6/1000,IF(Calculator!$E$11='GWP reference values'!$C$7,G18*'GWP reference values'!$D$7/1000,IF(Calculator!$E$11='GWP reference values'!$C$8,G18*'GWP reference values'!$D$8/1000,"Error")))</f>
        <v>0.79021617482688422</v>
      </c>
      <c r="I18" s="2">
        <f t="shared" si="8"/>
        <v>6.2476828414935515</v>
      </c>
      <c r="J18" s="3">
        <f t="shared" si="9"/>
        <v>24</v>
      </c>
    </row>
    <row r="19" spans="3:10" x14ac:dyDescent="0.25">
      <c r="C19" s="3">
        <v>25</v>
      </c>
      <c r="D19" s="3">
        <f t="shared" si="5"/>
        <v>1.6225000000000001</v>
      </c>
      <c r="E19" s="3">
        <f t="shared" si="6"/>
        <v>5.9491666666666676</v>
      </c>
      <c r="F19" s="2">
        <f>(0.334*0.5^((C19+5)/6.31))*'EF Adjustment Table'!I$20</f>
        <v>1.8964540877668183E-2</v>
      </c>
      <c r="G19" s="18">
        <f t="shared" si="7"/>
        <v>25.28605450355758</v>
      </c>
      <c r="H19" s="2">
        <f>IF(Calculator!$E$11='GWP reference values'!$C$6,G19*'GWP reference values'!$D$6/1000,IF(Calculator!$E$11='GWP reference values'!$C$7,G19*'GWP reference values'!$D$7/1000,IF(Calculator!$E$11='GWP reference values'!$C$8,G19*'GWP reference values'!$D$8/1000,"Error")))</f>
        <v>0.70800952609961221</v>
      </c>
      <c r="I19" s="2">
        <f t="shared" si="8"/>
        <v>6.65717619276628</v>
      </c>
      <c r="J19" s="3">
        <f t="shared" si="9"/>
        <v>25</v>
      </c>
    </row>
    <row r="20" spans="3:10" x14ac:dyDescent="0.25">
      <c r="C20" s="3">
        <v>26</v>
      </c>
      <c r="D20" s="3">
        <f t="shared" si="5"/>
        <v>1.7566000000000002</v>
      </c>
      <c r="E20" s="3">
        <f t="shared" si="6"/>
        <v>6.4408666666666665</v>
      </c>
      <c r="F20" s="2">
        <f>(0.334*0.5^((C20+5)/6.31))*'EF Adjustment Table'!I$20</f>
        <v>1.6991648649100459E-2</v>
      </c>
      <c r="G20" s="18">
        <f t="shared" si="7"/>
        <v>22.655531532133946</v>
      </c>
      <c r="H20" s="2">
        <f>IF(Calculator!$E$11='GWP reference values'!$C$6,G20*'GWP reference values'!$D$6/1000,IF(Calculator!$E$11='GWP reference values'!$C$7,G20*'GWP reference values'!$D$7/1000,IF(Calculator!$E$11='GWP reference values'!$C$8,G20*'GWP reference values'!$D$8/1000,"Error")))</f>
        <v>0.63435488289975051</v>
      </c>
      <c r="I20" s="2">
        <f t="shared" si="8"/>
        <v>7.0752215495664172</v>
      </c>
      <c r="J20" s="3">
        <f t="shared" si="9"/>
        <v>26</v>
      </c>
    </row>
    <row r="21" spans="3:10" x14ac:dyDescent="0.25">
      <c r="C21" s="3">
        <v>27</v>
      </c>
      <c r="D21" s="3">
        <f t="shared" si="5"/>
        <v>1.8906999999999998</v>
      </c>
      <c r="E21" s="3">
        <f t="shared" si="6"/>
        <v>6.9325666666666663</v>
      </c>
      <c r="F21" s="2">
        <f>(0.334*0.5^((C21+5)/6.31))*'EF Adjustment Table'!I$20</f>
        <v>1.5223997547678957E-2</v>
      </c>
      <c r="G21" s="18">
        <f t="shared" si="7"/>
        <v>20.298663396905276</v>
      </c>
      <c r="H21" s="2">
        <f>IF(Calculator!$E$11='GWP reference values'!$C$6,G21*'GWP reference values'!$D$6/1000,IF(Calculator!$E$11='GWP reference values'!$C$7,G21*'GWP reference values'!$D$7/1000,IF(Calculator!$E$11='GWP reference values'!$C$8,G21*'GWP reference values'!$D$8/1000,"Error")))</f>
        <v>0.56836257511334776</v>
      </c>
      <c r="I21" s="2">
        <f t="shared" si="8"/>
        <v>7.500929241780014</v>
      </c>
      <c r="J21" s="3">
        <f t="shared" si="9"/>
        <v>27</v>
      </c>
    </row>
    <row r="22" spans="3:10" x14ac:dyDescent="0.25">
      <c r="C22" s="3">
        <v>28</v>
      </c>
      <c r="D22" s="3">
        <f t="shared" si="5"/>
        <v>2.0247999999999999</v>
      </c>
      <c r="E22" s="3">
        <f t="shared" si="6"/>
        <v>7.4242666666666661</v>
      </c>
      <c r="F22" s="2">
        <f>(0.334*0.5^((C22+5)/6.31))*'EF Adjustment Table'!I$20</f>
        <v>1.3640236219456248E-2</v>
      </c>
      <c r="G22" s="18">
        <f t="shared" si="7"/>
        <v>18.186981625941666</v>
      </c>
      <c r="H22" s="2">
        <f>IF(Calculator!$E$11='GWP reference values'!$C$6,G22*'GWP reference values'!$D$6/1000,IF(Calculator!$E$11='GWP reference values'!$C$7,G22*'GWP reference values'!$D$7/1000,IF(Calculator!$E$11='GWP reference values'!$C$8,G22*'GWP reference values'!$D$8/1000,"Error")))</f>
        <v>0.50923548552636666</v>
      </c>
      <c r="I22" s="2">
        <f t="shared" si="8"/>
        <v>7.9335021521930331</v>
      </c>
      <c r="J22" s="3">
        <f t="shared" si="9"/>
        <v>28</v>
      </c>
    </row>
    <row r="23" spans="3:10" x14ac:dyDescent="0.25">
      <c r="C23" s="3">
        <v>29</v>
      </c>
      <c r="D23" s="3">
        <f t="shared" si="5"/>
        <v>2.1589</v>
      </c>
      <c r="E23" s="3">
        <f t="shared" si="6"/>
        <v>7.9159666666666668</v>
      </c>
      <c r="F23" s="2">
        <f>(0.334*0.5^((C23+5)/6.31))*'EF Adjustment Table'!I$20</f>
        <v>1.2221234504266723E-2</v>
      </c>
      <c r="G23" s="18">
        <f t="shared" si="7"/>
        <v>16.294979339022298</v>
      </c>
      <c r="H23" s="2">
        <f>IF(Calculator!$E$11='GWP reference values'!$C$6,G23*'GWP reference values'!$D$6/1000,IF(Calculator!$E$11='GWP reference values'!$C$7,G23*'GWP reference values'!$D$7/1000,IF(Calculator!$E$11='GWP reference values'!$C$8,G23*'GWP reference values'!$D$8/1000,"Error")))</f>
        <v>0.45625942149262438</v>
      </c>
      <c r="I23" s="2">
        <f t="shared" si="8"/>
        <v>8.3722260881592909</v>
      </c>
      <c r="J23" s="3">
        <f t="shared" si="9"/>
        <v>29</v>
      </c>
    </row>
    <row r="24" spans="3:10" x14ac:dyDescent="0.25">
      <c r="C24" s="3">
        <v>30</v>
      </c>
      <c r="D24" s="3">
        <f t="shared" si="5"/>
        <v>2.2929999999999997</v>
      </c>
      <c r="E24" s="3">
        <f t="shared" si="6"/>
        <v>8.4076666666666657</v>
      </c>
      <c r="F24" s="2">
        <f>(0.334*0.5^((C24+5)/6.31))*'EF Adjustment Table'!I$20</f>
        <v>1.0949852363644293E-2</v>
      </c>
      <c r="G24" s="18">
        <f t="shared" si="7"/>
        <v>14.599803151525725</v>
      </c>
      <c r="H24" s="2">
        <f>IF(Calculator!$E$11='GWP reference values'!$C$6,G24*'GWP reference values'!$D$6/1000,IF(Calculator!$E$11='GWP reference values'!$C$7,G24*'GWP reference values'!$D$7/1000,IF(Calculator!$E$11='GWP reference values'!$C$8,G24*'GWP reference values'!$D$8/1000,"Error")))</f>
        <v>0.4087944882427203</v>
      </c>
      <c r="I24" s="2">
        <f t="shared" si="8"/>
        <v>8.8164611549093852</v>
      </c>
      <c r="J24" s="3">
        <f t="shared" si="9"/>
        <v>30</v>
      </c>
    </row>
    <row r="25" spans="3:10" x14ac:dyDescent="0.25">
      <c r="C25" s="3">
        <v>31</v>
      </c>
      <c r="D25" s="3">
        <f t="shared" si="5"/>
        <v>2.4270999999999998</v>
      </c>
      <c r="E25" s="3">
        <f t="shared" si="6"/>
        <v>8.8993666666666655</v>
      </c>
      <c r="F25" s="2">
        <f>(0.334*0.5^((C25+5)/6.31))*'EF Adjustment Table'!I$20</f>
        <v>9.8107328473033429E-3</v>
      </c>
      <c r="G25" s="18">
        <f t="shared" si="7"/>
        <v>13.080977129737791</v>
      </c>
      <c r="H25" s="2">
        <f>IF(Calculator!$E$11='GWP reference values'!$C$6,G25*'GWP reference values'!$D$6/1000,IF(Calculator!$E$11='GWP reference values'!$C$7,G25*'GWP reference values'!$D$7/1000,IF(Calculator!$E$11='GWP reference values'!$C$8,G25*'GWP reference values'!$D$8/1000,"Error")))</f>
        <v>0.36626735963265816</v>
      </c>
      <c r="I25" s="2">
        <f t="shared" si="8"/>
        <v>9.265634026299324</v>
      </c>
      <c r="J25" s="3">
        <f t="shared" si="9"/>
        <v>31</v>
      </c>
    </row>
    <row r="26" spans="3:10" x14ac:dyDescent="0.25">
      <c r="C26" s="3">
        <v>32</v>
      </c>
      <c r="D26" s="3">
        <f t="shared" si="5"/>
        <v>2.5611999999999999</v>
      </c>
      <c r="E26" s="3">
        <f t="shared" si="6"/>
        <v>9.3910666666666671</v>
      </c>
      <c r="F26" s="2">
        <f>(0.334*0.5^((C26+5)/6.31))*'EF Adjustment Table'!I$20</f>
        <v>8.7901165974372097E-3</v>
      </c>
      <c r="G26" s="18">
        <f t="shared" si="7"/>
        <v>11.720155463249613</v>
      </c>
      <c r="H26" s="2">
        <f>IF(Calculator!$E$11='GWP reference values'!$C$6,G26*'GWP reference values'!$D$6/1000,IF(Calculator!$E$11='GWP reference values'!$C$7,G26*'GWP reference values'!$D$7/1000,IF(Calculator!$E$11='GWP reference values'!$C$8,G26*'GWP reference values'!$D$8/1000,"Error")))</f>
        <v>0.32816435297098917</v>
      </c>
      <c r="I26" s="2">
        <f t="shared" si="8"/>
        <v>9.7192310196376557</v>
      </c>
      <c r="J26" s="3">
        <f t="shared" si="9"/>
        <v>32</v>
      </c>
    </row>
    <row r="27" spans="3:10" x14ac:dyDescent="0.25">
      <c r="C27" s="3">
        <v>33</v>
      </c>
      <c r="D27" s="3">
        <f t="shared" si="5"/>
        <v>2.6953</v>
      </c>
      <c r="E27" s="3">
        <f t="shared" si="6"/>
        <v>9.8827666666666669</v>
      </c>
      <c r="F27" s="2">
        <f>(0.334*0.5^((C27+5)/6.31))*'EF Adjustment Table'!I$20</f>
        <v>7.8756756502424922E-3</v>
      </c>
      <c r="G27" s="18">
        <f t="shared" si="7"/>
        <v>10.500900866989989</v>
      </c>
      <c r="H27" s="2">
        <f>IF(Calculator!$E$11='GWP reference values'!$C$6,G27*'GWP reference values'!$D$6/1000,IF(Calculator!$E$11='GWP reference values'!$C$7,G27*'GWP reference values'!$D$7/1000,IF(Calculator!$E$11='GWP reference values'!$C$8,G27*'GWP reference values'!$D$8/1000,"Error")))</f>
        <v>0.29402522427571964</v>
      </c>
      <c r="I27" s="2">
        <f t="shared" si="8"/>
        <v>10.176791890942386</v>
      </c>
      <c r="J27" s="3">
        <f t="shared" si="9"/>
        <v>33</v>
      </c>
    </row>
    <row r="28" spans="3:10" x14ac:dyDescent="0.25">
      <c r="C28" s="3">
        <v>34</v>
      </c>
      <c r="D28" s="3">
        <f t="shared" si="5"/>
        <v>2.8294000000000001</v>
      </c>
      <c r="E28" s="3">
        <f t="shared" si="6"/>
        <v>10.374466666666667</v>
      </c>
      <c r="F28" s="2">
        <f>(0.334*0.5^((C28+5)/6.31))*'EF Adjustment Table'!I$20</f>
        <v>7.0563645271675274E-3</v>
      </c>
      <c r="G28" s="18">
        <f t="shared" si="7"/>
        <v>9.4084860362233709</v>
      </c>
      <c r="H28" s="2">
        <f>IF(Calculator!$E$11='GWP reference values'!$C$6,G28*'GWP reference values'!$D$6/1000,IF(Calculator!$E$11='GWP reference values'!$C$7,G28*'GWP reference values'!$D$7/1000,IF(Calculator!$E$11='GWP reference values'!$C$8,G28*'GWP reference values'!$D$8/1000,"Error")))</f>
        <v>0.26343760901425439</v>
      </c>
      <c r="I28" s="2">
        <f t="shared" si="8"/>
        <v>10.637904275680921</v>
      </c>
      <c r="J28" s="3">
        <f t="shared" si="9"/>
        <v>34</v>
      </c>
    </row>
    <row r="29" spans="3:10" x14ac:dyDescent="0.25">
      <c r="C29" s="3">
        <v>35</v>
      </c>
      <c r="D29" s="3">
        <f t="shared" si="5"/>
        <v>2.9635000000000002</v>
      </c>
      <c r="E29" s="3">
        <f t="shared" si="6"/>
        <v>10.866166666666668</v>
      </c>
      <c r="F29" s="2">
        <f>(0.334*0.5^((C29+5)/6.31))*'EF Adjustment Table'!I$20</f>
        <v>6.3222868172250271E-3</v>
      </c>
      <c r="G29" s="18">
        <f t="shared" si="7"/>
        <v>8.4297157563000358</v>
      </c>
      <c r="H29" s="2">
        <f>IF(Calculator!$E$11='GWP reference values'!$C$6,G29*'GWP reference values'!$D$6/1000,IF(Calculator!$E$11='GWP reference values'!$C$7,G29*'GWP reference values'!$D$7/1000,IF(Calculator!$E$11='GWP reference values'!$C$8,G29*'GWP reference values'!$D$8/1000,"Error")))</f>
        <v>0.236032041176401</v>
      </c>
      <c r="I29" s="2">
        <f t="shared" si="8"/>
        <v>11.102198707843069</v>
      </c>
      <c r="J29" s="3">
        <f t="shared" si="9"/>
        <v>35</v>
      </c>
    </row>
    <row r="30" spans="3:10" x14ac:dyDescent="0.25">
      <c r="C30" s="3">
        <v>36</v>
      </c>
      <c r="D30" s="3">
        <f t="shared" si="5"/>
        <v>3.0976000000000004</v>
      </c>
      <c r="E30" s="3">
        <f t="shared" si="6"/>
        <v>11.357866666666668</v>
      </c>
      <c r="F30" s="2">
        <f>(0.334*0.5^((C30+5)/6.31))*'EF Adjustment Table'!I$20</f>
        <v>5.6645756388243275E-3</v>
      </c>
      <c r="G30" s="18">
        <f t="shared" si="7"/>
        <v>7.5527675184324368</v>
      </c>
      <c r="H30" s="2">
        <f>IF(Calculator!$E$11='GWP reference values'!$C$6,G30*'GWP reference values'!$D$6/1000,IF(Calculator!$E$11='GWP reference values'!$C$7,G30*'GWP reference values'!$D$7/1000,IF(Calculator!$E$11='GWP reference values'!$C$8,G30*'GWP reference values'!$D$8/1000,"Error")))</f>
        <v>0.21147749051610823</v>
      </c>
      <c r="I30" s="2">
        <f t="shared" si="8"/>
        <v>11.569344157182776</v>
      </c>
      <c r="J30" s="3">
        <f t="shared" si="9"/>
        <v>36</v>
      </c>
    </row>
    <row r="31" spans="3:10" x14ac:dyDescent="0.25">
      <c r="C31" s="3">
        <v>37</v>
      </c>
      <c r="D31" s="3">
        <f t="shared" si="5"/>
        <v>3.2316999999999996</v>
      </c>
      <c r="E31" s="3">
        <f t="shared" si="6"/>
        <v>11.849566666666666</v>
      </c>
      <c r="F31" s="2">
        <f>(0.334*0.5^((C31+5)/6.31))*'EF Adjustment Table'!I$20</f>
        <v>5.075286537228922E-3</v>
      </c>
      <c r="G31" s="18">
        <f t="shared" si="7"/>
        <v>6.7670487163052293</v>
      </c>
      <c r="H31" s="2">
        <f>IF(Calculator!$E$11='GWP reference values'!$C$6,G31*'GWP reference values'!$D$6/1000,IF(Calculator!$E$11='GWP reference values'!$C$7,G31*'GWP reference values'!$D$7/1000,IF(Calculator!$E$11='GWP reference values'!$C$8,G31*'GWP reference values'!$D$8/1000,"Error")))</f>
        <v>0.18947736405654644</v>
      </c>
      <c r="I31" s="2">
        <f t="shared" si="8"/>
        <v>12.039044030723213</v>
      </c>
      <c r="J31" s="3">
        <f t="shared" si="9"/>
        <v>37</v>
      </c>
    </row>
    <row r="32" spans="3:10" x14ac:dyDescent="0.25">
      <c r="C32" s="3">
        <v>38</v>
      </c>
      <c r="D32" s="3">
        <f t="shared" si="5"/>
        <v>3.3657999999999997</v>
      </c>
      <c r="E32" s="3">
        <f t="shared" si="6"/>
        <v>12.341266666666666</v>
      </c>
      <c r="F32" s="2">
        <f>(0.334*0.5^((C32+5)/6.31))*'EF Adjustment Table'!I$20</f>
        <v>4.5473015239537399E-3</v>
      </c>
      <c r="G32" s="18">
        <f t="shared" si="7"/>
        <v>6.0630686986049867</v>
      </c>
      <c r="H32" s="2">
        <f>IF(Calculator!$E$11='GWP reference values'!$C$6,G32*'GWP reference values'!$D$6/1000,IF(Calculator!$E$11='GWP reference values'!$C$7,G32*'GWP reference values'!$D$7/1000,IF(Calculator!$E$11='GWP reference values'!$C$8,G32*'GWP reference values'!$D$8/1000,"Error")))</f>
        <v>0.16976592356093961</v>
      </c>
      <c r="I32" s="2">
        <f t="shared" si="8"/>
        <v>12.511032590227606</v>
      </c>
      <c r="J32" s="3">
        <f t="shared" si="9"/>
        <v>38</v>
      </c>
    </row>
    <row r="33" spans="3:10" x14ac:dyDescent="0.25">
      <c r="C33" s="3">
        <v>39</v>
      </c>
      <c r="D33" s="3">
        <f t="shared" si="5"/>
        <v>3.4998999999999998</v>
      </c>
      <c r="E33" s="3">
        <f t="shared" si="6"/>
        <v>12.832966666666666</v>
      </c>
      <c r="F33" s="2">
        <f>(0.334*0.5^((C33+5)/6.31))*'EF Adjustment Table'!I$20</f>
        <v>4.0742430989999029E-3</v>
      </c>
      <c r="G33" s="18">
        <f t="shared" si="7"/>
        <v>5.4323241319998701</v>
      </c>
      <c r="H33" s="2">
        <f>IF(Calculator!$E$11='GWP reference values'!$C$6,G33*'GWP reference values'!$D$6/1000,IF(Calculator!$E$11='GWP reference values'!$C$7,G33*'GWP reference values'!$D$7/1000,IF(Calculator!$E$11='GWP reference values'!$C$8,G33*'GWP reference values'!$D$8/1000,"Error")))</f>
        <v>0.15210507569599635</v>
      </c>
      <c r="I33" s="2">
        <f t="shared" si="8"/>
        <v>12.985071742362662</v>
      </c>
      <c r="J33" s="3">
        <f t="shared" si="9"/>
        <v>39</v>
      </c>
    </row>
    <row r="34" spans="3:10" x14ac:dyDescent="0.25">
      <c r="C34" s="3">
        <v>40</v>
      </c>
      <c r="D34" s="3">
        <f t="shared" si="5"/>
        <v>3.6339999999999999</v>
      </c>
      <c r="E34" s="3">
        <f t="shared" si="6"/>
        <v>13.324666666666667</v>
      </c>
      <c r="F34" s="2">
        <f>(0.334*0.5^((C34+5)/6.31))*'EF Adjustment Table'!I$20</f>
        <v>3.6503972174063335E-3</v>
      </c>
      <c r="G34" s="18">
        <f t="shared" si="7"/>
        <v>4.8671962898751113</v>
      </c>
      <c r="H34" s="2">
        <f>IF(Calculator!$E$11='GWP reference values'!$C$6,G34*'GWP reference values'!$D$6/1000,IF(Calculator!$E$11='GWP reference values'!$C$7,G34*'GWP reference values'!$D$7/1000,IF(Calculator!$E$11='GWP reference values'!$C$8,G34*'GWP reference values'!$D$8/1000,"Error")))</f>
        <v>0.13628149611650311</v>
      </c>
      <c r="I34" s="2">
        <f t="shared" si="8"/>
        <v>13.46094816278317</v>
      </c>
      <c r="J34" s="3">
        <f t="shared" si="9"/>
        <v>40</v>
      </c>
    </row>
    <row r="35" spans="3:10" x14ac:dyDescent="0.25">
      <c r="C35" s="3">
        <v>41</v>
      </c>
      <c r="D35" s="3">
        <f t="shared" si="5"/>
        <v>3.7681</v>
      </c>
      <c r="E35" s="3">
        <f t="shared" si="6"/>
        <v>13.816366666666667</v>
      </c>
      <c r="F35" s="2">
        <f>(0.334*0.5^((C35+5)/6.31))*'EF Adjustment Table'!I$20</f>
        <v>3.2706442696359664E-3</v>
      </c>
      <c r="G35" s="18">
        <f t="shared" si="7"/>
        <v>4.3608590261812887</v>
      </c>
      <c r="H35" s="2">
        <f>IF(Calculator!$E$11='GWP reference values'!$C$6,G35*'GWP reference values'!$D$6/1000,IF(Calculator!$E$11='GWP reference values'!$C$7,G35*'GWP reference values'!$D$7/1000,IF(Calculator!$E$11='GWP reference values'!$C$8,G35*'GWP reference values'!$D$8/1000,"Error")))</f>
        <v>0.12210405273307609</v>
      </c>
      <c r="I35" s="2">
        <f t="shared" si="8"/>
        <v>13.938470719399744</v>
      </c>
      <c r="J35" s="3">
        <f t="shared" si="9"/>
        <v>41</v>
      </c>
    </row>
    <row r="36" spans="3:10" x14ac:dyDescent="0.25">
      <c r="C36" s="3">
        <v>42</v>
      </c>
      <c r="D36" s="3">
        <f t="shared" si="5"/>
        <v>3.9022000000000001</v>
      </c>
      <c r="E36" s="3">
        <f t="shared" si="6"/>
        <v>14.308066666666667</v>
      </c>
      <c r="F36" s="2">
        <f>(0.334*0.5^((C36+5)/6.31))*'EF Adjustment Table'!I$20</f>
        <v>2.9303972421124763E-3</v>
      </c>
      <c r="G36" s="18">
        <f t="shared" si="7"/>
        <v>3.9071963228166351</v>
      </c>
      <c r="H36" s="2">
        <f>IF(Calculator!$E$11='GWP reference values'!$C$6,G36*'GWP reference values'!$D$6/1000,IF(Calculator!$E$11='GWP reference values'!$C$7,G36*'GWP reference values'!$D$7/1000,IF(Calculator!$E$11='GWP reference values'!$C$8,G36*'GWP reference values'!$D$8/1000,"Error")))</f>
        <v>0.10940149703886579</v>
      </c>
      <c r="I36" s="2">
        <f t="shared" si="8"/>
        <v>14.417468163705532</v>
      </c>
      <c r="J36" s="3">
        <f t="shared" si="9"/>
        <v>42</v>
      </c>
    </row>
    <row r="37" spans="3:10" x14ac:dyDescent="0.25">
      <c r="C37" s="3">
        <v>43</v>
      </c>
      <c r="D37" s="3">
        <f t="shared" si="5"/>
        <v>4.0363000000000007</v>
      </c>
      <c r="E37" s="3">
        <f t="shared" si="6"/>
        <v>14.799766666666669</v>
      </c>
      <c r="F37" s="2">
        <f>(0.334*0.5^((C37+5)/6.31))*'EF Adjustment Table'!I$20</f>
        <v>2.625546310952429E-3</v>
      </c>
      <c r="G37" s="18">
        <f t="shared" si="7"/>
        <v>3.5007284146032389</v>
      </c>
      <c r="H37" s="2">
        <f>IF(Calculator!$E$11='GWP reference values'!$C$6,G37*'GWP reference values'!$D$6/1000,IF(Calculator!$E$11='GWP reference values'!$C$7,G37*'GWP reference values'!$D$7/1000,IF(Calculator!$E$11='GWP reference values'!$C$8,G37*'GWP reference values'!$D$8/1000,"Error")))</f>
        <v>9.8020395608890698E-2</v>
      </c>
      <c r="I37" s="2">
        <f t="shared" si="8"/>
        <v>14.89778706227556</v>
      </c>
      <c r="J37" s="3">
        <f t="shared" si="9"/>
        <v>43</v>
      </c>
    </row>
    <row r="38" spans="3:10" x14ac:dyDescent="0.25">
      <c r="C38" s="3">
        <v>44</v>
      </c>
      <c r="D38" s="3">
        <f t="shared" si="5"/>
        <v>4.170399999999999</v>
      </c>
      <c r="E38" s="3">
        <f t="shared" si="6"/>
        <v>15.291466666666663</v>
      </c>
      <c r="F38" s="2">
        <f>(0.334*0.5^((C38+5)/6.31))*'EF Adjustment Table'!I$20</f>
        <v>2.3524091996436959E-3</v>
      </c>
      <c r="G38" s="18">
        <f t="shared" si="7"/>
        <v>3.1365455995249278</v>
      </c>
      <c r="H38" s="2">
        <f>IF(Calculator!$E$11='GWP reference values'!$C$6,G38*'GWP reference values'!$D$6/1000,IF(Calculator!$E$11='GWP reference values'!$C$7,G38*'GWP reference values'!$D$7/1000,IF(Calculator!$E$11='GWP reference values'!$C$8,G38*'GWP reference values'!$D$8/1000,"Error")))</f>
        <v>8.7823276786697976E-2</v>
      </c>
      <c r="I38" s="2">
        <f t="shared" si="8"/>
        <v>15.379289943453362</v>
      </c>
      <c r="J38" s="3">
        <f t="shared" si="9"/>
        <v>44</v>
      </c>
    </row>
    <row r="39" spans="3:10" x14ac:dyDescent="0.25">
      <c r="C39" s="3">
        <v>45</v>
      </c>
      <c r="D39" s="3">
        <f t="shared" si="5"/>
        <v>4.3044999999999991</v>
      </c>
      <c r="E39" s="3">
        <f t="shared" si="6"/>
        <v>15.783166666666663</v>
      </c>
      <c r="F39" s="2">
        <f>(0.334*0.5^((C39+5)/6.31))*'EF Adjustment Table'!I$20</f>
        <v>2.1076867010435154E-3</v>
      </c>
      <c r="G39" s="18">
        <f t="shared" si="7"/>
        <v>2.8102489347246871</v>
      </c>
      <c r="H39" s="2">
        <f>IF(Calculator!$E$11='GWP reference values'!$C$6,G39*'GWP reference values'!$D$6/1000,IF(Calculator!$E$11='GWP reference values'!$C$7,G39*'GWP reference values'!$D$7/1000,IF(Calculator!$E$11='GWP reference values'!$C$8,G39*'GWP reference values'!$D$8/1000,"Error")))</f>
        <v>7.8686970172291246E-2</v>
      </c>
      <c r="I39" s="2">
        <f t="shared" si="8"/>
        <v>15.861853636838955</v>
      </c>
      <c r="J39" s="3">
        <f t="shared" si="9"/>
        <v>45</v>
      </c>
    </row>
    <row r="40" spans="3:10" x14ac:dyDescent="0.25">
      <c r="C40" s="3">
        <v>46</v>
      </c>
      <c r="D40" s="3">
        <f t="shared" si="5"/>
        <v>4.4385999999999992</v>
      </c>
      <c r="E40" s="3">
        <f t="shared" si="6"/>
        <v>16.274866666666664</v>
      </c>
      <c r="F40" s="2">
        <f>(0.334*0.5^((C40+5)/6.31))*'EF Adjustment Table'!I$20</f>
        <v>1.8884228264489644E-3</v>
      </c>
      <c r="G40" s="18">
        <f t="shared" si="7"/>
        <v>2.5178971019319527</v>
      </c>
      <c r="H40" s="2">
        <f>IF(Calculator!$E$11='GWP reference values'!$C$6,G40*'GWP reference values'!$D$6/1000,IF(Calculator!$E$11='GWP reference values'!$C$7,G40*'GWP reference values'!$D$7/1000,IF(Calculator!$E$11='GWP reference values'!$C$8,G40*'GWP reference values'!$D$8/1000,"Error")))</f>
        <v>7.0501118854094671E-2</v>
      </c>
      <c r="I40" s="2">
        <f t="shared" si="8"/>
        <v>16.345367785520757</v>
      </c>
      <c r="J40" s="3">
        <f t="shared" si="9"/>
        <v>46</v>
      </c>
    </row>
    <row r="41" spans="3:10" x14ac:dyDescent="0.25">
      <c r="C41" s="3">
        <v>47</v>
      </c>
      <c r="D41" s="3">
        <f t="shared" si="5"/>
        <v>4.5726999999999993</v>
      </c>
      <c r="E41" s="3">
        <f t="shared" si="6"/>
        <v>16.766566666666662</v>
      </c>
      <c r="F41" s="2">
        <f>(0.334*0.5^((C41+5)/6.31))*'EF Adjustment Table'!I$20</f>
        <v>1.691969100382852E-3</v>
      </c>
      <c r="G41" s="18">
        <f t="shared" si="7"/>
        <v>2.2559588005104692</v>
      </c>
      <c r="H41" s="2">
        <f>IF(Calculator!$E$11='GWP reference values'!$C$6,G41*'GWP reference values'!$D$6/1000,IF(Calculator!$E$11='GWP reference values'!$C$7,G41*'GWP reference values'!$D$7/1000,IF(Calculator!$E$11='GWP reference values'!$C$8,G41*'GWP reference values'!$D$8/1000,"Error")))</f>
        <v>6.3166846414293126E-2</v>
      </c>
      <c r="I41" s="2">
        <f t="shared" si="8"/>
        <v>16.829733513080956</v>
      </c>
      <c r="J41" s="3">
        <f t="shared" si="9"/>
        <v>47</v>
      </c>
    </row>
    <row r="42" spans="3:10" x14ac:dyDescent="0.25">
      <c r="C42" s="3">
        <v>48</v>
      </c>
      <c r="D42" s="3">
        <f t="shared" si="5"/>
        <v>4.7067999999999994</v>
      </c>
      <c r="E42" s="3">
        <f t="shared" si="6"/>
        <v>17.258266666666664</v>
      </c>
      <c r="F42" s="2">
        <f>(0.334*0.5^((C42+5)/6.31))*'EF Adjustment Table'!I$20</f>
        <v>1.5159525698138045E-3</v>
      </c>
      <c r="G42" s="18">
        <f t="shared" si="7"/>
        <v>2.0212700930850729</v>
      </c>
      <c r="H42" s="2">
        <f>IF(Calculator!$E$11='GWP reference values'!$C$6,G42*'GWP reference values'!$D$6/1000,IF(Calculator!$E$11='GWP reference values'!$C$7,G42*'GWP reference values'!$D$7/1000,IF(Calculator!$E$11='GWP reference values'!$C$8,G42*'GWP reference values'!$D$8/1000,"Error")))</f>
        <v>5.6595562606382037E-2</v>
      </c>
      <c r="I42" s="2">
        <f t="shared" si="8"/>
        <v>17.314862229273047</v>
      </c>
      <c r="J42" s="3">
        <f t="shared" si="9"/>
        <v>48</v>
      </c>
    </row>
    <row r="43" spans="3:10" x14ac:dyDescent="0.25">
      <c r="C43" s="3">
        <v>49</v>
      </c>
      <c r="D43" s="3">
        <f t="shared" si="5"/>
        <v>4.8408999999999995</v>
      </c>
      <c r="E43" s="3">
        <f t="shared" si="6"/>
        <v>17.749966666666666</v>
      </c>
      <c r="F43" s="2">
        <f>(0.334*0.5^((C43+5)/6.31))*'EF Adjustment Table'!I$20</f>
        <v>1.3582471413958281E-3</v>
      </c>
      <c r="G43" s="18">
        <f t="shared" si="7"/>
        <v>1.8109961885277708</v>
      </c>
      <c r="H43" s="2">
        <f>IF(Calculator!$E$11='GWP reference values'!$C$6,G43*'GWP reference values'!$D$6/1000,IF(Calculator!$E$11='GWP reference values'!$C$7,G43*'GWP reference values'!$D$7/1000,IF(Calculator!$E$11='GWP reference values'!$C$8,G43*'GWP reference values'!$D$8/1000,"Error")))</f>
        <v>5.0707893278777581E-2</v>
      </c>
      <c r="I43" s="2">
        <f t="shared" si="8"/>
        <v>17.800674559945442</v>
      </c>
      <c r="J43" s="3">
        <f t="shared" si="9"/>
        <v>49</v>
      </c>
    </row>
    <row r="44" spans="3:10" x14ac:dyDescent="0.25">
      <c r="C44" s="3">
        <v>50</v>
      </c>
      <c r="D44" s="3">
        <f t="shared" si="5"/>
        <v>4.9749999999999996</v>
      </c>
      <c r="E44" s="3">
        <f t="shared" si="6"/>
        <v>18.241666666666667</v>
      </c>
      <c r="F44" s="2">
        <f>(0.334*0.5^((C44+5)/6.31))*'EF Adjustment Table'!I$20</f>
        <v>1.2169479005115095E-3</v>
      </c>
      <c r="G44" s="18">
        <f t="shared" si="7"/>
        <v>1.6225972006820124</v>
      </c>
      <c r="H44" s="2">
        <f>IF(Calculator!$E$11='GWP reference values'!$C$6,G44*'GWP reference values'!$D$6/1000,IF(Calculator!$E$11='GWP reference values'!$C$7,G44*'GWP reference values'!$D$7/1000,IF(Calculator!$E$11='GWP reference values'!$C$8,G44*'GWP reference values'!$D$8/1000,"Error")))</f>
        <v>4.5432721619096346E-2</v>
      </c>
      <c r="I44" s="2">
        <f t="shared" si="8"/>
        <v>18.287099388285764</v>
      </c>
      <c r="J44" s="3">
        <f t="shared" si="9"/>
        <v>50</v>
      </c>
    </row>
    <row r="45" spans="3:10" x14ac:dyDescent="0.25">
      <c r="C45" s="3">
        <v>51</v>
      </c>
      <c r="D45" s="3">
        <f t="shared" si="5"/>
        <v>5.1090999999999998</v>
      </c>
      <c r="E45" s="3">
        <f t="shared" si="6"/>
        <v>18.733366666666665</v>
      </c>
      <c r="F45" s="2">
        <f>(0.334*0.5^((C45+5)/6.31))*'EF Adjustment Table'!I$20</f>
        <v>1.0903481019201215E-3</v>
      </c>
      <c r="G45" s="18">
        <f t="shared" si="7"/>
        <v>1.4537974692268287</v>
      </c>
      <c r="H45" s="2">
        <f>IF(Calculator!$E$11='GWP reference values'!$C$6,G45*'GWP reference values'!$D$6/1000,IF(Calculator!$E$11='GWP reference values'!$C$7,G45*'GWP reference values'!$D$7/1000,IF(Calculator!$E$11='GWP reference values'!$C$8,G45*'GWP reference values'!$D$8/1000,"Error")))</f>
        <v>4.0706329138351205E-2</v>
      </c>
      <c r="I45" s="2">
        <f t="shared" si="8"/>
        <v>18.774072995805017</v>
      </c>
      <c r="J45" s="3">
        <f t="shared" si="9"/>
        <v>51</v>
      </c>
    </row>
    <row r="46" spans="3:10" x14ac:dyDescent="0.25">
      <c r="C46" s="3">
        <v>52</v>
      </c>
      <c r="D46" s="3">
        <f t="shared" si="5"/>
        <v>5.2431999999999999</v>
      </c>
      <c r="E46" s="3">
        <f t="shared" si="6"/>
        <v>19.225066666666667</v>
      </c>
      <c r="F46" s="2">
        <f>(0.334*0.5^((C46+5)/6.31))*'EF Adjustment Table'!I$20</f>
        <v>9.7691855408198452E-4</v>
      </c>
      <c r="G46" s="18">
        <f t="shared" si="7"/>
        <v>1.3025580721093126</v>
      </c>
      <c r="H46" s="2">
        <f>IF(Calculator!$E$11='GWP reference values'!$C$6,G46*'GWP reference values'!$D$6/1000,IF(Calculator!$E$11='GWP reference values'!$C$7,G46*'GWP reference values'!$D$7/1000,IF(Calculator!$E$11='GWP reference values'!$C$8,G46*'GWP reference values'!$D$8/1000,"Error")))</f>
        <v>3.6471626019060753E-2</v>
      </c>
      <c r="I46" s="2">
        <f t="shared" si="8"/>
        <v>19.261538292685728</v>
      </c>
      <c r="J46" s="3">
        <f t="shared" si="9"/>
        <v>52</v>
      </c>
    </row>
    <row r="47" spans="3:10" x14ac:dyDescent="0.25">
      <c r="C47" s="3">
        <v>53</v>
      </c>
      <c r="D47" s="3">
        <f t="shared" si="5"/>
        <v>5.3773</v>
      </c>
      <c r="E47" s="3">
        <f t="shared" si="6"/>
        <v>19.716766666666665</v>
      </c>
      <c r="F47" s="2">
        <f>(0.334*0.5^((C47+5)/6.31))*'EF Adjustment Table'!I$20</f>
        <v>8.7528914814358346E-4</v>
      </c>
      <c r="G47" s="18">
        <f t="shared" si="7"/>
        <v>1.1670521975247781</v>
      </c>
      <c r="H47" s="2">
        <f>IF(Calculator!$E$11='GWP reference values'!$C$6,G47*'GWP reference values'!$D$6/1000,IF(Calculator!$E$11='GWP reference values'!$C$7,G47*'GWP reference values'!$D$7/1000,IF(Calculator!$E$11='GWP reference values'!$C$8,G47*'GWP reference values'!$D$8/1000,"Error")))</f>
        <v>3.2677461530693785E-2</v>
      </c>
      <c r="I47" s="2">
        <f t="shared" si="8"/>
        <v>19.749444128197357</v>
      </c>
      <c r="J47" s="3">
        <f t="shared" si="9"/>
        <v>53</v>
      </c>
    </row>
    <row r="48" spans="3:10" x14ac:dyDescent="0.25">
      <c r="C48" s="3">
        <v>54</v>
      </c>
      <c r="D48" s="3">
        <f t="shared" si="5"/>
        <v>5.5114000000000001</v>
      </c>
      <c r="E48" s="3">
        <f t="shared" si="6"/>
        <v>20.208466666666666</v>
      </c>
      <c r="F48" s="2">
        <f>(0.334*0.5^((C48+5)/6.31))*'EF Adjustment Table'!I$20</f>
        <v>7.8423230847310171E-4</v>
      </c>
      <c r="G48" s="18">
        <f t="shared" si="7"/>
        <v>1.0456430779641355</v>
      </c>
      <c r="H48" s="2">
        <f>IF(Calculator!$E$11='GWP reference values'!$C$6,G48*'GWP reference values'!$D$6/1000,IF(Calculator!$E$11='GWP reference values'!$C$7,G48*'GWP reference values'!$D$7/1000,IF(Calculator!$E$11='GWP reference values'!$C$8,G48*'GWP reference values'!$D$8/1000,"Error")))</f>
        <v>2.9278006182995791E-2</v>
      </c>
      <c r="I48" s="2">
        <f t="shared" si="8"/>
        <v>20.237744672849661</v>
      </c>
      <c r="J48" s="3">
        <f t="shared" si="9"/>
        <v>54</v>
      </c>
    </row>
    <row r="49" spans="3:10" x14ac:dyDescent="0.25">
      <c r="C49" s="3">
        <v>55</v>
      </c>
      <c r="D49" s="3">
        <f t="shared" si="5"/>
        <v>5.6455000000000002</v>
      </c>
      <c r="E49" s="3">
        <f t="shared" si="6"/>
        <v>20.700166666666668</v>
      </c>
      <c r="F49" s="2">
        <f>(0.334*0.5^((C49+5)/6.31))*'EF Adjustment Table'!I$20</f>
        <v>7.0264816484639191E-4</v>
      </c>
      <c r="G49" s="18">
        <f t="shared" si="7"/>
        <v>0.93686421979518919</v>
      </c>
      <c r="H49" s="2">
        <f>IF(Calculator!$E$11='GWP reference values'!$C$6,G49*'GWP reference values'!$D$6/1000,IF(Calculator!$E$11='GWP reference values'!$C$7,G49*'GWP reference values'!$D$7/1000,IF(Calculator!$E$11='GWP reference values'!$C$8,G49*'GWP reference values'!$D$8/1000,"Error")))</f>
        <v>2.6232198154265297E-2</v>
      </c>
      <c r="I49" s="2">
        <f t="shared" si="8"/>
        <v>20.726398864820933</v>
      </c>
      <c r="J49" s="3">
        <f t="shared" si="9"/>
        <v>55</v>
      </c>
    </row>
    <row r="50" spans="3:10" x14ac:dyDescent="0.25">
      <c r="C50" s="3">
        <v>56</v>
      </c>
      <c r="D50" s="3">
        <f t="shared" si="5"/>
        <v>5.7796000000000003</v>
      </c>
      <c r="E50" s="3">
        <f t="shared" si="6"/>
        <v>21.19186666666667</v>
      </c>
      <c r="F50" s="2">
        <f>(0.334*0.5^((C50+5)/6.31))*'EF Adjustment Table'!I$20</f>
        <v>6.2955126717906165E-4</v>
      </c>
      <c r="G50" s="18">
        <f t="shared" si="7"/>
        <v>0.83940168957208217</v>
      </c>
      <c r="H50" s="2">
        <f>IF(Calculator!$E$11='GWP reference values'!$C$6,G50*'GWP reference values'!$D$6/1000,IF(Calculator!$E$11='GWP reference values'!$C$7,G50*'GWP reference values'!$D$7/1000,IF(Calculator!$E$11='GWP reference values'!$C$8,G50*'GWP reference values'!$D$8/1000,"Error")))</f>
        <v>2.3503247308018303E-2</v>
      </c>
      <c r="I50" s="2">
        <f t="shared" si="8"/>
        <v>21.215369913974687</v>
      </c>
      <c r="J50" s="3">
        <f t="shared" si="9"/>
        <v>56</v>
      </c>
    </row>
    <row r="51" spans="3:10" x14ac:dyDescent="0.25">
      <c r="C51" s="3">
        <v>57</v>
      </c>
      <c r="D51" s="3">
        <f t="shared" si="5"/>
        <v>5.9137000000000004</v>
      </c>
      <c r="E51" s="3">
        <f t="shared" si="6"/>
        <v>21.683566666666668</v>
      </c>
      <c r="F51" s="2">
        <f>(0.334*0.5^((C51+5)/6.31))*'EF Adjustment Table'!I$20</f>
        <v>5.6405868233272319E-4</v>
      </c>
      <c r="G51" s="18">
        <f t="shared" si="7"/>
        <v>0.75207824311029758</v>
      </c>
      <c r="H51" s="2">
        <f>IF(Calculator!$E$11='GWP reference values'!$C$6,G51*'GWP reference values'!$D$6/1000,IF(Calculator!$E$11='GWP reference values'!$C$7,G51*'GWP reference values'!$D$7/1000,IF(Calculator!$E$11='GWP reference values'!$C$8,G51*'GWP reference values'!$D$8/1000,"Error")))</f>
        <v>2.1058190807088335E-2</v>
      </c>
      <c r="I51" s="2">
        <f t="shared" si="8"/>
        <v>21.704624857473757</v>
      </c>
      <c r="J51" s="3">
        <f t="shared" si="9"/>
        <v>57</v>
      </c>
    </row>
    <row r="52" spans="3:10" x14ac:dyDescent="0.25">
      <c r="C52" s="3">
        <v>58</v>
      </c>
      <c r="D52" s="3">
        <f t="shared" si="5"/>
        <v>6.0478000000000005</v>
      </c>
      <c r="E52" s="3">
        <f t="shared" si="6"/>
        <v>22.175266666666666</v>
      </c>
      <c r="F52" s="2">
        <f>(0.334*0.5^((C52+5)/6.31))*'EF Adjustment Table'!I$20</f>
        <v>5.053793292174167E-4</v>
      </c>
      <c r="G52" s="18">
        <f t="shared" si="7"/>
        <v>0.67383910562322225</v>
      </c>
      <c r="H52" s="2">
        <f>IF(Calculator!$E$11='GWP reference values'!$C$6,G52*'GWP reference values'!$D$6/1000,IF(Calculator!$E$11='GWP reference values'!$C$7,G52*'GWP reference values'!$D$7/1000,IF(Calculator!$E$11='GWP reference values'!$C$8,G52*'GWP reference values'!$D$8/1000,"Error")))</f>
        <v>1.8867494957450222E-2</v>
      </c>
      <c r="I52" s="2">
        <f t="shared" si="8"/>
        <v>22.194134161624117</v>
      </c>
      <c r="J52" s="3">
        <f t="shared" si="9"/>
        <v>58</v>
      </c>
    </row>
    <row r="53" spans="3:10" x14ac:dyDescent="0.25">
      <c r="C53" s="3">
        <v>59</v>
      </c>
      <c r="D53" s="3">
        <f t="shared" si="5"/>
        <v>6.1819000000000006</v>
      </c>
      <c r="E53" s="3">
        <f t="shared" si="6"/>
        <v>22.666966666666667</v>
      </c>
      <c r="F53" s="2">
        <f>(0.334*0.5^((C53+5)/6.31))*'EF Adjustment Table'!I$20</f>
        <v>4.5280442336952939E-4</v>
      </c>
      <c r="G53" s="18">
        <f t="shared" si="7"/>
        <v>0.60373923115937245</v>
      </c>
      <c r="H53" s="2">
        <f>IF(Calculator!$E$11='GWP reference values'!$C$6,G53*'GWP reference values'!$D$6/1000,IF(Calculator!$E$11='GWP reference values'!$C$7,G53*'GWP reference values'!$D$7/1000,IF(Calculator!$E$11='GWP reference values'!$C$8,G53*'GWP reference values'!$D$8/1000,"Error")))</f>
        <v>1.690469847246243E-2</v>
      </c>
      <c r="I53" s="2">
        <f t="shared" si="8"/>
        <v>22.683871365139129</v>
      </c>
      <c r="J53" s="3">
        <f t="shared" si="9"/>
        <v>59</v>
      </c>
    </row>
    <row r="54" spans="3:10" x14ac:dyDescent="0.25">
      <c r="C54" s="3">
        <v>60</v>
      </c>
      <c r="D54" s="3">
        <f t="shared" si="5"/>
        <v>6.3159999999999989</v>
      </c>
      <c r="E54" s="3">
        <f t="shared" si="6"/>
        <v>23.158666666666662</v>
      </c>
      <c r="F54" s="2">
        <f>(0.334*0.5^((C54+5)/6.31))*'EF Adjustment Table'!I$20</f>
        <v>4.0569891558585471E-4</v>
      </c>
      <c r="G54" s="18">
        <f t="shared" si="7"/>
        <v>0.54093188744780629</v>
      </c>
      <c r="H54" s="2">
        <f>IF(Calculator!$E$11='GWP reference values'!$C$6,G54*'GWP reference values'!$D$6/1000,IF(Calculator!$E$11='GWP reference values'!$C$7,G54*'GWP reference values'!$D$7/1000,IF(Calculator!$E$11='GWP reference values'!$C$8,G54*'GWP reference values'!$D$8/1000,"Error")))</f>
        <v>1.5146092848538576E-2</v>
      </c>
      <c r="I54" s="2">
        <f t="shared" si="8"/>
        <v>23.173812759515201</v>
      </c>
      <c r="J54" s="3">
        <f t="shared" si="9"/>
        <v>60</v>
      </c>
    </row>
    <row r="55" spans="3:10" x14ac:dyDescent="0.25">
      <c r="C55" s="3">
        <v>61</v>
      </c>
      <c r="D55" s="3">
        <f t="shared" si="5"/>
        <v>6.4500999999999991</v>
      </c>
      <c r="E55" s="3">
        <f t="shared" si="6"/>
        <v>23.650366666666663</v>
      </c>
      <c r="F55" s="2">
        <f>(0.334*0.5^((C55+5)/6.31))*'EF Adjustment Table'!I$20</f>
        <v>3.6349382120151315E-4</v>
      </c>
      <c r="G55" s="18">
        <f t="shared" si="7"/>
        <v>0.48465842826868416</v>
      </c>
      <c r="H55" s="2">
        <f>IF(Calculator!$E$11='GWP reference values'!$C$6,G55*'GWP reference values'!$D$6/1000,IF(Calculator!$E$11='GWP reference values'!$C$7,G55*'GWP reference values'!$D$7/1000,IF(Calculator!$E$11='GWP reference values'!$C$8,G55*'GWP reference values'!$D$8/1000,"Error")))</f>
        <v>1.3570435991523157E-2</v>
      </c>
      <c r="I55" s="2">
        <f t="shared" si="8"/>
        <v>23.663937102658185</v>
      </c>
      <c r="J55" s="3">
        <f t="shared" si="9"/>
        <v>61</v>
      </c>
    </row>
    <row r="56" spans="3:10" x14ac:dyDescent="0.25">
      <c r="C56" s="3">
        <v>62</v>
      </c>
      <c r="D56" s="3">
        <f t="shared" si="5"/>
        <v>6.5841999999999992</v>
      </c>
      <c r="E56" s="3">
        <f t="shared" si="6"/>
        <v>24.142066666666665</v>
      </c>
      <c r="F56" s="2">
        <f>(0.334*0.5^((C56+5)/6.31))*'EF Adjustment Table'!I$20</f>
        <v>3.2567934735757721E-4</v>
      </c>
      <c r="G56" s="18">
        <f t="shared" si="7"/>
        <v>0.43423912981010293</v>
      </c>
      <c r="H56" s="2">
        <f>IF(Calculator!$E$11='GWP reference values'!$C$6,G56*'GWP reference values'!$D$6/1000,IF(Calculator!$E$11='GWP reference values'!$C$7,G56*'GWP reference values'!$D$7/1000,IF(Calculator!$E$11='GWP reference values'!$C$8,G56*'GWP reference values'!$D$8/1000,"Error")))</f>
        <v>1.2158695634682882E-2</v>
      </c>
      <c r="I56" s="2">
        <f t="shared" si="8"/>
        <v>24.154225362301347</v>
      </c>
      <c r="J56" s="3">
        <f t="shared" si="9"/>
        <v>62</v>
      </c>
    </row>
    <row r="57" spans="3:10" x14ac:dyDescent="0.25">
      <c r="C57" s="3">
        <v>63</v>
      </c>
      <c r="D57" s="3">
        <f t="shared" si="5"/>
        <v>6.7182999999999993</v>
      </c>
      <c r="E57" s="3">
        <f t="shared" si="6"/>
        <v>24.633766666666663</v>
      </c>
      <c r="F57" s="2">
        <f>(0.334*0.5^((C57+5)/6.31))*'EF Adjustment Table'!I$20</f>
        <v>2.917987352430288E-4</v>
      </c>
      <c r="G57" s="18">
        <f t="shared" si="7"/>
        <v>0.38906498032403841</v>
      </c>
      <c r="H57" s="2">
        <f>IF(Calculator!$E$11='GWP reference values'!$C$6,G57*'GWP reference values'!$D$6/1000,IF(Calculator!$E$11='GWP reference values'!$C$7,G57*'GWP reference values'!$D$7/1000,IF(Calculator!$E$11='GWP reference values'!$C$8,G57*'GWP reference values'!$D$8/1000,"Error")))</f>
        <v>1.0893819449073076E-2</v>
      </c>
      <c r="I57" s="2">
        <f t="shared" si="8"/>
        <v>24.644660486115736</v>
      </c>
      <c r="J57" s="3">
        <f t="shared" si="9"/>
        <v>63</v>
      </c>
    </row>
    <row r="58" spans="3:10" x14ac:dyDescent="0.25">
      <c r="C58" s="3">
        <v>64</v>
      </c>
      <c r="D58" s="3">
        <f t="shared" si="5"/>
        <v>6.8523999999999994</v>
      </c>
      <c r="E58" s="3">
        <f t="shared" si="6"/>
        <v>25.125466666666664</v>
      </c>
      <c r="F58" s="2">
        <f>(0.334*0.5^((C58+5)/6.31))*'EF Adjustment Table'!I$20</f>
        <v>2.614427429318859E-4</v>
      </c>
      <c r="G58" s="18">
        <f t="shared" si="7"/>
        <v>0.34859032390918121</v>
      </c>
      <c r="H58" s="2">
        <f>IF(Calculator!$E$11='GWP reference values'!$C$6,G58*'GWP reference values'!$D$6/1000,IF(Calculator!$E$11='GWP reference values'!$C$7,G58*'GWP reference values'!$D$7/1000,IF(Calculator!$E$11='GWP reference values'!$C$8,G58*'GWP reference values'!$D$8/1000,"Error")))</f>
        <v>9.7605290694570742E-3</v>
      </c>
      <c r="I58" s="2">
        <f t="shared" si="8"/>
        <v>25.135227195736121</v>
      </c>
      <c r="J58" s="3">
        <f t="shared" si="9"/>
        <v>64</v>
      </c>
    </row>
    <row r="59" spans="3:10" x14ac:dyDescent="0.25">
      <c r="C59" s="3">
        <v>65</v>
      </c>
      <c r="D59" s="3">
        <f t="shared" si="5"/>
        <v>6.9864999999999995</v>
      </c>
      <c r="E59" s="3">
        <f t="shared" si="6"/>
        <v>25.617166666666666</v>
      </c>
      <c r="F59" s="2">
        <f>(0.334*0.5^((C59+5)/6.31))*'EF Adjustment Table'!I$20</f>
        <v>2.3424470217398228E-4</v>
      </c>
      <c r="G59" s="18">
        <f t="shared" si="7"/>
        <v>0.31232626956530968</v>
      </c>
      <c r="H59" s="2">
        <f>IF(Calculator!$E$11='GWP reference values'!$C$6,G59*'GWP reference values'!$D$6/1000,IF(Calculator!$E$11='GWP reference values'!$C$7,G59*'GWP reference values'!$D$7/1000,IF(Calculator!$E$11='GWP reference values'!$C$8,G59*'GWP reference values'!$D$8/1000,"Error")))</f>
        <v>8.7451355478286707E-3</v>
      </c>
      <c r="I59" s="2">
        <f t="shared" si="8"/>
        <v>25.625911802214496</v>
      </c>
      <c r="J59" s="3">
        <f t="shared" si="9"/>
        <v>65</v>
      </c>
    </row>
    <row r="60" spans="3:10" x14ac:dyDescent="0.25">
      <c r="C60" s="3">
        <v>66</v>
      </c>
      <c r="D60" s="3">
        <f t="shared" si="0"/>
        <v>7.1205999999999996</v>
      </c>
      <c r="E60" s="3">
        <f t="shared" si="1"/>
        <v>26.108866666666664</v>
      </c>
      <c r="F60" s="2">
        <f>(0.334*0.5^((C60+5)/6.31))*'EF Adjustment Table'!I$20</f>
        <v>2.098760894306914E-4</v>
      </c>
      <c r="G60" s="8">
        <f t="shared" si="2"/>
        <v>0.27983478590758853</v>
      </c>
      <c r="H60" s="2">
        <f>IF(Calculator!$E$11='GWP reference values'!$C$6,G60*'GWP reference values'!$D$6/1000,IF(Calculator!$E$11='GWP reference values'!$C$7,G60*'GWP reference values'!$D$7/1000,IF(Calculator!$E$11='GWP reference values'!$C$8,G60*'GWP reference values'!$D$8/1000,"Error")))</f>
        <v>7.8353740054124786E-3</v>
      </c>
      <c r="I60" s="2">
        <f t="shared" si="8"/>
        <v>26.116702040672077</v>
      </c>
      <c r="J60" s="3">
        <f t="shared" si="9"/>
        <v>66</v>
      </c>
    </row>
    <row r="61" spans="3:10" x14ac:dyDescent="0.25">
      <c r="C61" s="3">
        <v>67</v>
      </c>
      <c r="D61" s="3">
        <f t="shared" si="0"/>
        <v>7.2546999999999997</v>
      </c>
      <c r="E61" s="3">
        <f t="shared" si="1"/>
        <v>26.600566666666666</v>
      </c>
      <c r="F61" s="2">
        <f>(0.334*0.5^((C61+5)/6.31))*'EF Adjustment Table'!I$20</f>
        <v>1.8804255765837331E-4</v>
      </c>
      <c r="G61" s="8">
        <f t="shared" si="2"/>
        <v>0.2507234102111644</v>
      </c>
      <c r="H61" s="2">
        <f>IF(Calculator!$E$11='GWP reference values'!$C$6,G61*'GWP reference values'!$D$6/1000,IF(Calculator!$E$11='GWP reference values'!$C$7,G61*'GWP reference values'!$D$7/1000,IF(Calculator!$E$11='GWP reference values'!$C$8,G61*'GWP reference values'!$D$8/1000,"Error")))</f>
        <v>7.0202554859126031E-3</v>
      </c>
      <c r="I61" s="2">
        <f t="shared" si="8"/>
        <v>26.607586922152578</v>
      </c>
      <c r="J61" s="3">
        <f t="shared" si="9"/>
        <v>67</v>
      </c>
    </row>
    <row r="62" spans="3:10" x14ac:dyDescent="0.25">
      <c r="C62" s="3">
        <v>68</v>
      </c>
      <c r="D62" s="3">
        <f t="shared" si="0"/>
        <v>7.3887999999999998</v>
      </c>
      <c r="E62" s="3">
        <f t="shared" si="1"/>
        <v>27.092266666666667</v>
      </c>
      <c r="F62" s="2">
        <f>(0.334*0.5^((C62+5)/6.31))*'EF Adjustment Table'!I$20</f>
        <v>1.6848038090770597E-4</v>
      </c>
      <c r="G62" s="8">
        <f t="shared" si="2"/>
        <v>0.22464050787694131</v>
      </c>
      <c r="H62" s="2">
        <f>IF(Calculator!$E$11='GWP reference values'!$C$6,G62*'GWP reference values'!$D$6/1000,IF(Calculator!$E$11='GWP reference values'!$C$7,G62*'GWP reference values'!$D$7/1000,IF(Calculator!$E$11='GWP reference values'!$C$8,G62*'GWP reference values'!$D$8/1000,"Error")))</f>
        <v>6.2899342205543565E-3</v>
      </c>
      <c r="I62" s="2">
        <f t="shared" si="8"/>
        <v>27.098556600887221</v>
      </c>
      <c r="J62" s="3">
        <f t="shared" si="9"/>
        <v>68</v>
      </c>
    </row>
    <row r="63" spans="3:10" x14ac:dyDescent="0.25">
      <c r="C63" s="3">
        <v>69</v>
      </c>
      <c r="D63" s="3">
        <f t="shared" si="0"/>
        <v>7.5228999999999999</v>
      </c>
      <c r="E63" s="3">
        <f t="shared" si="1"/>
        <v>27.583966666666665</v>
      </c>
      <c r="F63" s="2">
        <f>(0.334*0.5^((C63+5)/6.31))*'EF Adjustment Table'!I$20</f>
        <v>1.5095326879341529E-4</v>
      </c>
      <c r="G63" s="8">
        <f t="shared" si="2"/>
        <v>0.20127102505788705</v>
      </c>
      <c r="H63" s="2">
        <f>IF(Calculator!$E$11='GWP reference values'!$C$6,G63*'GWP reference values'!$D$6/1000,IF(Calculator!$E$11='GWP reference values'!$C$7,G63*'GWP reference values'!$D$7/1000,IF(Calculator!$E$11='GWP reference values'!$C$8,G63*'GWP reference values'!$D$8/1000,"Error")))</f>
        <v>5.6355887016208374E-3</v>
      </c>
      <c r="I63" s="2">
        <f t="shared" si="8"/>
        <v>27.589602255368288</v>
      </c>
      <c r="J63" s="3">
        <f t="shared" si="9"/>
        <v>69</v>
      </c>
    </row>
    <row r="64" spans="3:10" x14ac:dyDescent="0.25">
      <c r="C64" s="3">
        <v>70</v>
      </c>
      <c r="D64" s="3">
        <f t="shared" si="0"/>
        <v>7.657</v>
      </c>
      <c r="E64" s="3">
        <f t="shared" si="1"/>
        <v>28.075666666666667</v>
      </c>
      <c r="F64" s="2">
        <f>(0.334*0.5^((C64+5)/6.31))*'EF Adjustment Table'!I$20</f>
        <v>1.3524951235657407E-4</v>
      </c>
      <c r="G64" s="8">
        <f t="shared" si="2"/>
        <v>0.18033268314209874</v>
      </c>
      <c r="H64" s="2">
        <f>IF(Calculator!$E$11='GWP reference values'!$C$6,G64*'GWP reference values'!$D$6/1000,IF(Calculator!$E$11='GWP reference values'!$C$7,G64*'GWP reference values'!$D$7/1000,IF(Calculator!$E$11='GWP reference values'!$C$8,G64*'GWP reference values'!$D$8/1000,"Error")))</f>
        <v>5.0493151279787643E-3</v>
      </c>
      <c r="I64" s="2">
        <f t="shared" si="8"/>
        <v>28.080715981794647</v>
      </c>
      <c r="J64" s="3">
        <f t="shared" si="9"/>
        <v>70</v>
      </c>
    </row>
    <row r="65" spans="3:10" x14ac:dyDescent="0.25">
      <c r="C65" s="3">
        <v>71</v>
      </c>
      <c r="D65" s="3">
        <f t="shared" si="0"/>
        <v>7.7911000000000001</v>
      </c>
      <c r="E65" s="3">
        <f t="shared" si="1"/>
        <v>28.567366666666668</v>
      </c>
      <c r="F65" s="2">
        <f>(0.334*0.5^((C65+5)/6.31))*'EF Adjustment Table'!I$20</f>
        <v>1.2117942684450841E-4</v>
      </c>
      <c r="G65" s="8">
        <f t="shared" si="2"/>
        <v>0.16157256912601123</v>
      </c>
      <c r="H65" s="2">
        <f>IF(Calculator!$E$11='GWP reference values'!$C$6,G65*'GWP reference values'!$D$6/1000,IF(Calculator!$E$11='GWP reference values'!$C$7,G65*'GWP reference values'!$D$7/1000,IF(Calculator!$E$11='GWP reference values'!$C$8,G65*'GWP reference values'!$D$8/1000,"Error")))</f>
        <v>4.5240319355283141E-3</v>
      </c>
      <c r="I65" s="2">
        <f t="shared" si="8"/>
        <v>28.571890698602196</v>
      </c>
      <c r="J65" s="3">
        <f t="shared" si="9"/>
        <v>71</v>
      </c>
    </row>
    <row r="66" spans="3:10" x14ac:dyDescent="0.25">
      <c r="C66" s="3">
        <v>72</v>
      </c>
      <c r="D66" s="3">
        <f t="shared" si="0"/>
        <v>7.9252000000000002</v>
      </c>
      <c r="E66" s="3">
        <f t="shared" si="1"/>
        <v>29.059066666666666</v>
      </c>
      <c r="F66" s="2">
        <f>(0.334*0.5^((C66+5)/6.31))*'EF Adjustment Table'!I$20</f>
        <v>1.0857306051979843E-4</v>
      </c>
      <c r="G66" s="8">
        <f t="shared" si="2"/>
        <v>0.1447640806930646</v>
      </c>
      <c r="H66" s="2">
        <f>IF(Calculator!$E$11='GWP reference values'!$C$6,G66*'GWP reference values'!$D$6/1000,IF(Calculator!$E$11='GWP reference values'!$C$7,G66*'GWP reference values'!$D$7/1000,IF(Calculator!$E$11='GWP reference values'!$C$8,G66*'GWP reference values'!$D$8/1000,"Error")))</f>
        <v>4.0533942594058086E-3</v>
      </c>
      <c r="I66" s="2">
        <f t="shared" si="8"/>
        <v>29.063120060926071</v>
      </c>
      <c r="J66" s="3">
        <f t="shared" si="9"/>
        <v>72</v>
      </c>
    </row>
    <row r="67" spans="3:10" x14ac:dyDescent="0.25">
      <c r="C67" s="3">
        <v>73</v>
      </c>
      <c r="D67" s="3">
        <f t="shared" si="0"/>
        <v>8.0592999999999986</v>
      </c>
      <c r="E67" s="3">
        <f t="shared" si="1"/>
        <v>29.550766666666664</v>
      </c>
      <c r="F67" s="2">
        <f>(0.334*0.5^((C67+5)/6.31))*'EF Adjustment Table'!I$20</f>
        <v>9.7278141823213627E-5</v>
      </c>
      <c r="G67" s="8">
        <f t="shared" si="2"/>
        <v>0.12970418909761816</v>
      </c>
      <c r="H67" s="2">
        <f>IF(Calculator!$E$11='GWP reference values'!$C$6,G67*'GWP reference values'!$D$6/1000,IF(Calculator!$E$11='GWP reference values'!$C$7,G67*'GWP reference values'!$D$7/1000,IF(Calculator!$E$11='GWP reference values'!$C$8,G67*'GWP reference values'!$D$8/1000,"Error")))</f>
        <v>3.6317172947333085E-3</v>
      </c>
      <c r="I67" s="2">
        <f t="shared" si="8"/>
        <v>29.554398383961399</v>
      </c>
      <c r="J67" s="3">
        <f t="shared" si="9"/>
        <v>73</v>
      </c>
    </row>
    <row r="68" spans="3:10" x14ac:dyDescent="0.25">
      <c r="C68" s="3">
        <v>74</v>
      </c>
      <c r="D68" s="3">
        <f t="shared" si="0"/>
        <v>8.1933999999999987</v>
      </c>
      <c r="E68" s="3">
        <f t="shared" si="1"/>
        <v>30.042466666666659</v>
      </c>
      <c r="F68" s="2">
        <f>(0.334*0.5^((C68+5)/6.31))*'EF Adjustment Table'!I$20</f>
        <v>8.7158240094481536E-5</v>
      </c>
      <c r="G68" s="8">
        <f t="shared" si="2"/>
        <v>0.11621098679264204</v>
      </c>
      <c r="H68" s="2">
        <f>IF(Calculator!$E$11='GWP reference values'!$C$6,G68*'GWP reference values'!$D$6/1000,IF(Calculator!$E$11='GWP reference values'!$C$7,G68*'GWP reference values'!$D$7/1000,IF(Calculator!$E$11='GWP reference values'!$C$8,G68*'GWP reference values'!$D$8/1000,"Error")))</f>
        <v>3.2539076301939768E-3</v>
      </c>
      <c r="I68" s="2">
        <f t="shared" si="8"/>
        <v>30.045720574296851</v>
      </c>
      <c r="J68" s="3">
        <f t="shared" si="9"/>
        <v>74</v>
      </c>
    </row>
    <row r="69" spans="3:10" x14ac:dyDescent="0.25">
      <c r="C69" s="3">
        <v>75</v>
      </c>
      <c r="D69" s="3">
        <f t="shared" si="0"/>
        <v>8.3274999999999988</v>
      </c>
      <c r="E69" s="3">
        <f t="shared" si="1"/>
        <v>30.534166666666664</v>
      </c>
      <c r="F69" s="2">
        <f>(0.334*0.5^((C69+5)/6.31))*'EF Adjustment Table'!I$20</f>
        <v>7.8091117634347231E-5</v>
      </c>
      <c r="G69" s="8">
        <f t="shared" si="2"/>
        <v>0.10412149017912964</v>
      </c>
      <c r="H69" s="2">
        <f>IF(Calculator!$E$11='GWP reference values'!$C$6,G69*'GWP reference values'!$D$6/1000,IF(Calculator!$E$11='GWP reference values'!$C$7,G69*'GWP reference values'!$D$7/1000,IF(Calculator!$E$11='GWP reference values'!$C$8,G69*'GWP reference values'!$D$8/1000,"Error")))</f>
        <v>2.9154017250156298E-3</v>
      </c>
      <c r="I69" s="2">
        <f t="shared" si="8"/>
        <v>30.53708206839168</v>
      </c>
      <c r="J69" s="3">
        <f t="shared" si="9"/>
        <v>75</v>
      </c>
    </row>
    <row r="70" spans="3:10" x14ac:dyDescent="0.25">
      <c r="C70" s="3">
        <v>76</v>
      </c>
      <c r="D70" s="3">
        <f t="shared" si="0"/>
        <v>8.4615999999999989</v>
      </c>
      <c r="E70" s="3">
        <f t="shared" si="1"/>
        <v>31.025866666666666</v>
      </c>
      <c r="F70" s="2">
        <f>(0.334*0.5^((C70+5)/6.31))*'EF Adjustment Table'!I$20</f>
        <v>6.9967253202575364E-5</v>
      </c>
      <c r="G70" s="8">
        <f t="shared" si="2"/>
        <v>9.3289670936767155E-2</v>
      </c>
      <c r="H70" s="2">
        <f>IF(Calculator!$E$11='GWP reference values'!$C$6,G70*'GWP reference values'!$D$6/1000,IF(Calculator!$E$11='GWP reference values'!$C$7,G70*'GWP reference values'!$D$7/1000,IF(Calculator!$E$11='GWP reference values'!$C$8,G70*'GWP reference values'!$D$8/1000,"Error")))</f>
        <v>2.6121107862294799E-3</v>
      </c>
      <c r="I70" s="2">
        <f t="shared" si="8"/>
        <v>31.028478777452897</v>
      </c>
      <c r="J70" s="3">
        <f t="shared" si="9"/>
        <v>76</v>
      </c>
    </row>
    <row r="71" spans="3:10" x14ac:dyDescent="0.25">
      <c r="C71" s="3">
        <v>77</v>
      </c>
      <c r="D71" s="3">
        <f t="shared" si="0"/>
        <v>8.595699999999999</v>
      </c>
      <c r="E71" s="3">
        <f t="shared" si="1"/>
        <v>31.51756666666666</v>
      </c>
      <c r="F71" s="2">
        <f>(0.334*0.5^((C71+5)/6.31))*'EF Adjustment Table'!I$20</f>
        <v>6.2688519117315412E-5</v>
      </c>
      <c r="G71" s="8">
        <f t="shared" si="2"/>
        <v>8.3584692156420545E-2</v>
      </c>
      <c r="H71" s="2">
        <f>IF(Calculator!$E$11='GWP reference values'!$C$6,G71*'GWP reference values'!$D$6/1000,IF(Calculator!$E$11='GWP reference values'!$C$7,G71*'GWP reference values'!$D$7/1000,IF(Calculator!$E$11='GWP reference values'!$C$8,G71*'GWP reference values'!$D$8/1000,"Error")))</f>
        <v>2.3403713803797754E-3</v>
      </c>
      <c r="I71" s="2">
        <f t="shared" si="8"/>
        <v>31.519907038047041</v>
      </c>
      <c r="J71" s="3">
        <f t="shared" si="9"/>
        <v>77</v>
      </c>
    </row>
    <row r="72" spans="3:10" x14ac:dyDescent="0.25">
      <c r="C72" s="3">
        <v>78</v>
      </c>
      <c r="D72" s="3">
        <f t="shared" si="0"/>
        <v>8.7297999999999991</v>
      </c>
      <c r="E72" s="3">
        <f t="shared" si="1"/>
        <v>32.009266666666662</v>
      </c>
      <c r="F72" s="2">
        <f>(0.334*0.5^((C72+5)/6.31))*'EF Adjustment Table'!I$20</f>
        <v>5.616699597658877E-5</v>
      </c>
      <c r="G72" s="8">
        <f t="shared" si="2"/>
        <v>7.488932796878503E-2</v>
      </c>
      <c r="H72" s="2">
        <f>IF(Calculator!$E$11='GWP reference values'!$C$6,G72*'GWP reference values'!$D$6/1000,IF(Calculator!$E$11='GWP reference values'!$C$7,G72*'GWP reference values'!$D$7/1000,IF(Calculator!$E$11='GWP reference values'!$C$8,G72*'GWP reference values'!$D$8/1000,"Error")))</f>
        <v>2.0969011831259809E-3</v>
      </c>
      <c r="I72" s="2">
        <f t="shared" si="8"/>
        <v>32.011363567849784</v>
      </c>
      <c r="J72" s="3">
        <f t="shared" si="9"/>
        <v>78</v>
      </c>
    </row>
    <row r="73" spans="3:10" x14ac:dyDescent="0.25">
      <c r="C73" s="3">
        <v>79</v>
      </c>
      <c r="D73" s="3">
        <f t="shared" si="0"/>
        <v>8.8638999999999992</v>
      </c>
      <c r="E73" s="3">
        <f t="shared" si="1"/>
        <v>32.500966666666663</v>
      </c>
      <c r="F73" s="2">
        <f>(0.334*0.5^((C73+5)/6.31))*'EF Adjustment Table'!I$20</f>
        <v>5.0323910684991128E-5</v>
      </c>
      <c r="G73" s="8">
        <f t="shared" si="2"/>
        <v>6.7098547579988163E-2</v>
      </c>
      <c r="H73" s="2">
        <f>IF(Calculator!$E$11='GWP reference values'!$C$6,G73*'GWP reference values'!$D$6/1000,IF(Calculator!$E$11='GWP reference values'!$C$7,G73*'GWP reference values'!$D$7/1000,IF(Calculator!$E$11='GWP reference values'!$C$8,G73*'GWP reference values'!$D$8/1000,"Error")))</f>
        <v>1.8787593322396685E-3</v>
      </c>
      <c r="I73" s="2">
        <f t="shared" si="8"/>
        <v>32.502845425998906</v>
      </c>
      <c r="J73" s="3">
        <f t="shared" si="9"/>
        <v>79</v>
      </c>
    </row>
    <row r="74" spans="3:10" x14ac:dyDescent="0.25">
      <c r="C74" s="3">
        <v>80</v>
      </c>
      <c r="D74" s="3">
        <f t="shared" si="0"/>
        <v>8.9979999999999993</v>
      </c>
      <c r="E74" s="3">
        <f t="shared" si="1"/>
        <v>32.992666666666665</v>
      </c>
      <c r="F74" s="2">
        <f>(0.334*0.5^((C74+5)/6.31))*'EF Adjustment Table'!I$20</f>
        <v>4.5088684958094278E-5</v>
      </c>
      <c r="G74" s="8">
        <f t="shared" si="2"/>
        <v>6.0118246610792375E-2</v>
      </c>
      <c r="H74" s="2">
        <f>IF(Calculator!$E$11='GWP reference values'!$C$6,G74*'GWP reference values'!$D$6/1000,IF(Calculator!$E$11='GWP reference values'!$C$7,G74*'GWP reference values'!$D$7/1000,IF(Calculator!$E$11='GWP reference values'!$C$8,G74*'GWP reference values'!$D$8/1000,"Error")))</f>
        <v>1.6833109051021867E-3</v>
      </c>
      <c r="I74" s="2">
        <f t="shared" si="8"/>
        <v>32.994349977571765</v>
      </c>
      <c r="J74" s="3">
        <f t="shared" si="9"/>
        <v>80</v>
      </c>
    </row>
    <row r="75" spans="3:10" x14ac:dyDescent="0.25">
      <c r="C75" s="3">
        <v>81</v>
      </c>
      <c r="D75" s="3">
        <f t="shared" si="0"/>
        <v>9.1320999999999994</v>
      </c>
      <c r="E75" s="3">
        <f t="shared" si="1"/>
        <v>33.484366666666666</v>
      </c>
      <c r="F75" s="2">
        <f>(0.334*0.5^((C75+5)/6.31))*'EF Adjustment Table'!I$20</f>
        <v>4.0398082811489581E-5</v>
      </c>
      <c r="G75" s="8">
        <f t="shared" si="2"/>
        <v>5.3864110415319438E-2</v>
      </c>
      <c r="H75" s="2">
        <f>IF(Calculator!$E$11='GWP reference values'!$C$6,G75*'GWP reference values'!$D$6/1000,IF(Calculator!$E$11='GWP reference values'!$C$7,G75*'GWP reference values'!$D$7/1000,IF(Calculator!$E$11='GWP reference values'!$C$8,G75*'GWP reference values'!$D$8/1000,"Error")))</f>
        <v>1.5081950916289442E-3</v>
      </c>
      <c r="I75" s="2">
        <f t="shared" ref="I75:I94" si="10">SUM(H75,E75)</f>
        <v>33.485874861758298</v>
      </c>
      <c r="J75" s="3">
        <f t="shared" ref="J75:J94" si="11">C75</f>
        <v>81</v>
      </c>
    </row>
    <row r="76" spans="3:10" x14ac:dyDescent="0.25">
      <c r="C76" s="3">
        <v>82</v>
      </c>
      <c r="D76" s="3">
        <f t="shared" ref="D76:D89" si="12">0.1341*C76-1.73</f>
        <v>9.2661999999999995</v>
      </c>
      <c r="E76" s="3">
        <f t="shared" ref="E76:E89" si="13">D76/12*44</f>
        <v>33.976066666666668</v>
      </c>
      <c r="F76" s="2">
        <f>(0.334*0.5^((C76+5)/6.31))*'EF Adjustment Table'!I$20</f>
        <v>3.6195446737042095E-5</v>
      </c>
      <c r="G76" s="8">
        <f t="shared" ref="G76:G89" si="14">F76*1000*16/12</f>
        <v>4.8260595649389455E-2</v>
      </c>
      <c r="H76" s="2">
        <f>IF(Calculator!$E$11='GWP reference values'!$C$6,G76*'GWP reference values'!$D$6/1000,IF(Calculator!$E$11='GWP reference values'!$C$7,G76*'GWP reference values'!$D$7/1000,IF(Calculator!$E$11='GWP reference values'!$C$8,G76*'GWP reference values'!$D$8/1000,"Error")))</f>
        <v>1.3512966781829047E-3</v>
      </c>
      <c r="I76" s="2">
        <f t="shared" si="10"/>
        <v>33.977417963344848</v>
      </c>
      <c r="J76" s="3">
        <f t="shared" si="11"/>
        <v>82</v>
      </c>
    </row>
    <row r="77" spans="3:10" x14ac:dyDescent="0.25">
      <c r="C77" s="3">
        <v>83</v>
      </c>
      <c r="D77" s="3">
        <f t="shared" si="12"/>
        <v>9.4002999999999997</v>
      </c>
      <c r="E77" s="3">
        <f t="shared" si="13"/>
        <v>34.467766666666662</v>
      </c>
      <c r="F77" s="2">
        <f>(0.334*0.5^((C77+5)/6.31))*'EF Adjustment Table'!I$20</f>
        <v>3.2430013340173766E-5</v>
      </c>
      <c r="G77" s="8">
        <f t="shared" si="14"/>
        <v>4.3240017786898351E-2</v>
      </c>
      <c r="H77" s="2">
        <f>IF(Calculator!$E$11='GWP reference values'!$C$6,G77*'GWP reference values'!$D$6/1000,IF(Calculator!$E$11='GWP reference values'!$C$7,G77*'GWP reference values'!$D$7/1000,IF(Calculator!$E$11='GWP reference values'!$C$8,G77*'GWP reference values'!$D$8/1000,"Error")))</f>
        <v>1.2107204980331538E-3</v>
      </c>
      <c r="I77" s="2">
        <f t="shared" si="10"/>
        <v>34.468977387164692</v>
      </c>
      <c r="J77" s="3">
        <f t="shared" si="11"/>
        <v>83</v>
      </c>
    </row>
    <row r="78" spans="3:10" x14ac:dyDescent="0.25">
      <c r="C78" s="3">
        <v>84</v>
      </c>
      <c r="D78" s="3">
        <f t="shared" si="12"/>
        <v>9.5343999999999998</v>
      </c>
      <c r="E78" s="3">
        <f t="shared" si="13"/>
        <v>34.959466666666664</v>
      </c>
      <c r="F78" s="2">
        <f>(0.334*0.5^((C78+5)/6.31))*'EF Adjustment Table'!I$20</f>
        <v>2.9056300171798738E-5</v>
      </c>
      <c r="G78" s="8">
        <f t="shared" si="14"/>
        <v>3.8741733562398316E-2</v>
      </c>
      <c r="H78" s="2">
        <f>IF(Calculator!$E$11='GWP reference values'!$C$6,G78*'GWP reference values'!$D$6/1000,IF(Calculator!$E$11='GWP reference values'!$C$7,G78*'GWP reference values'!$D$7/1000,IF(Calculator!$E$11='GWP reference values'!$C$8,G78*'GWP reference values'!$D$8/1000,"Error")))</f>
        <v>1.0847685397471528E-3</v>
      </c>
      <c r="I78" s="2">
        <f t="shared" si="10"/>
        <v>34.960551435206412</v>
      </c>
      <c r="J78" s="3">
        <f t="shared" si="11"/>
        <v>84</v>
      </c>
    </row>
    <row r="79" spans="3:10" x14ac:dyDescent="0.25">
      <c r="C79" s="3">
        <v>85</v>
      </c>
      <c r="D79" s="3">
        <f t="shared" si="12"/>
        <v>9.6684999999999999</v>
      </c>
      <c r="E79" s="3">
        <f t="shared" si="13"/>
        <v>35.451166666666666</v>
      </c>
      <c r="F79" s="2">
        <f>(0.334*0.5^((C79+5)/6.31))*'EF Adjustment Table'!I$20</f>
        <v>2.6033556348489189E-5</v>
      </c>
      <c r="G79" s="8">
        <f t="shared" si="14"/>
        <v>3.4711408464652253E-2</v>
      </c>
      <c r="H79" s="2">
        <f>IF(Calculator!$E$11='GWP reference values'!$C$6,G79*'GWP reference values'!$D$6/1000,IF(Calculator!$E$11='GWP reference values'!$C$7,G79*'GWP reference values'!$D$7/1000,IF(Calculator!$E$11='GWP reference values'!$C$8,G79*'GWP reference values'!$D$8/1000,"Error")))</f>
        <v>9.7191943701026306E-4</v>
      </c>
      <c r="I79" s="2">
        <f t="shared" si="10"/>
        <v>35.452138586103679</v>
      </c>
      <c r="J79" s="3">
        <f t="shared" si="11"/>
        <v>85</v>
      </c>
    </row>
    <row r="80" spans="3:10" x14ac:dyDescent="0.25">
      <c r="C80" s="3">
        <v>86</v>
      </c>
      <c r="D80" s="3">
        <f t="shared" si="12"/>
        <v>9.8026</v>
      </c>
      <c r="E80" s="3">
        <f t="shared" si="13"/>
        <v>35.942866666666667</v>
      </c>
      <c r="F80" s="2">
        <f>(0.334*0.5^((C80+5)/6.31))*'EF Adjustment Table'!I$20</f>
        <v>2.3325270324945399E-5</v>
      </c>
      <c r="G80" s="8">
        <f t="shared" si="14"/>
        <v>3.1100360433260532E-2</v>
      </c>
      <c r="H80" s="2">
        <f>IF(Calculator!$E$11='GWP reference values'!$C$6,G80*'GWP reference values'!$D$6/1000,IF(Calculator!$E$11='GWP reference values'!$C$7,G80*'GWP reference values'!$D$7/1000,IF(Calculator!$E$11='GWP reference values'!$C$8,G80*'GWP reference values'!$D$8/1000,"Error")))</f>
        <v>8.7081009213129485E-4</v>
      </c>
      <c r="I80" s="2">
        <f t="shared" si="10"/>
        <v>35.943737476758798</v>
      </c>
      <c r="J80" s="3">
        <f t="shared" si="11"/>
        <v>86</v>
      </c>
    </row>
    <row r="81" spans="2:10" x14ac:dyDescent="0.25">
      <c r="C81" s="3">
        <v>87</v>
      </c>
      <c r="D81" s="3">
        <f t="shared" si="12"/>
        <v>9.9367000000000001</v>
      </c>
      <c r="E81" s="3">
        <f t="shared" si="13"/>
        <v>36.434566666666669</v>
      </c>
      <c r="F81" s="2">
        <f>(0.334*0.5^((C81+5)/6.31))*'EF Adjustment Table'!I$20</f>
        <v>2.0898728873181878E-5</v>
      </c>
      <c r="G81" s="8">
        <f t="shared" si="14"/>
        <v>2.7864971830909174E-2</v>
      </c>
      <c r="H81" s="2">
        <f>IF(Calculator!$E$11='GWP reference values'!$C$6,G81*'GWP reference values'!$D$6/1000,IF(Calculator!$E$11='GWP reference values'!$C$7,G81*'GWP reference values'!$D$7/1000,IF(Calculator!$E$11='GWP reference values'!$C$8,G81*'GWP reference values'!$D$8/1000,"Error")))</f>
        <v>7.8021921126545692E-4</v>
      </c>
      <c r="I81" s="2">
        <f t="shared" si="10"/>
        <v>36.435346885877934</v>
      </c>
      <c r="J81" s="3">
        <f t="shared" si="11"/>
        <v>87</v>
      </c>
    </row>
    <row r="82" spans="2:10" x14ac:dyDescent="0.25">
      <c r="C82" s="3">
        <v>88</v>
      </c>
      <c r="D82" s="3">
        <f t="shared" si="12"/>
        <v>10.070799999999998</v>
      </c>
      <c r="E82" s="3">
        <f t="shared" si="13"/>
        <v>36.926266666666656</v>
      </c>
      <c r="F82" s="2">
        <f>(0.334*0.5^((C82+5)/6.31))*'EF Adjustment Table'!I$20</f>
        <v>1.8724621941366005E-5</v>
      </c>
      <c r="G82" s="8">
        <f t="shared" si="14"/>
        <v>2.4966162588488008E-2</v>
      </c>
      <c r="H82" s="2">
        <f>IF(Calculator!$E$11='GWP reference values'!$C$6,G82*'GWP reference values'!$D$6/1000,IF(Calculator!$E$11='GWP reference values'!$C$7,G82*'GWP reference values'!$D$7/1000,IF(Calculator!$E$11='GWP reference values'!$C$8,G82*'GWP reference values'!$D$8/1000,"Error")))</f>
        <v>6.9905255247766434E-4</v>
      </c>
      <c r="I82" s="2">
        <f t="shared" si="10"/>
        <v>36.926965719219133</v>
      </c>
      <c r="J82" s="3">
        <f t="shared" si="11"/>
        <v>88</v>
      </c>
    </row>
    <row r="83" spans="2:10" x14ac:dyDescent="0.25">
      <c r="C83" s="3">
        <v>89</v>
      </c>
      <c r="D83" s="3">
        <f t="shared" si="12"/>
        <v>10.204899999999999</v>
      </c>
      <c r="E83" s="3">
        <f t="shared" si="13"/>
        <v>37.417966666666658</v>
      </c>
      <c r="F83" s="2">
        <f>(0.334*0.5^((C83+5)/6.31))*'EF Adjustment Table'!I$20</f>
        <v>1.6776688619421437E-5</v>
      </c>
      <c r="G83" s="8">
        <f t="shared" si="14"/>
        <v>2.236891815922858E-2</v>
      </c>
      <c r="H83" s="2">
        <f>IF(Calculator!$E$11='GWP reference values'!$C$6,G83*'GWP reference values'!$D$6/1000,IF(Calculator!$E$11='GWP reference values'!$C$7,G83*'GWP reference values'!$D$7/1000,IF(Calculator!$E$11='GWP reference values'!$C$8,G83*'GWP reference values'!$D$8/1000,"Error")))</f>
        <v>6.2632970845840014E-4</v>
      </c>
      <c r="I83" s="2">
        <f t="shared" si="10"/>
        <v>37.418592996375118</v>
      </c>
      <c r="J83" s="3">
        <f t="shared" si="11"/>
        <v>89</v>
      </c>
    </row>
    <row r="84" spans="2:10" x14ac:dyDescent="0.25">
      <c r="C84" s="3">
        <v>90</v>
      </c>
      <c r="D84" s="3">
        <f t="shared" si="12"/>
        <v>10.338999999999999</v>
      </c>
      <c r="E84" s="3">
        <f t="shared" si="13"/>
        <v>37.909666666666666</v>
      </c>
      <c r="F84" s="2">
        <f>(0.334*0.5^((C84+5)/6.31))*'EF Adjustment Table'!I$20</f>
        <v>1.5031399935036139E-5</v>
      </c>
      <c r="G84" s="8">
        <f t="shared" si="14"/>
        <v>2.0041866580048185E-2</v>
      </c>
      <c r="H84" s="2">
        <f>IF(Calculator!$E$11='GWP reference values'!$C$6,G84*'GWP reference values'!$D$6/1000,IF(Calculator!$E$11='GWP reference values'!$C$7,G84*'GWP reference values'!$D$7/1000,IF(Calculator!$E$11='GWP reference values'!$C$8,G84*'GWP reference values'!$D$8/1000,"Error")))</f>
        <v>5.6117226424134915E-4</v>
      </c>
      <c r="I84" s="2">
        <f t="shared" si="10"/>
        <v>37.910227838930908</v>
      </c>
      <c r="J84" s="3">
        <f t="shared" si="11"/>
        <v>90</v>
      </c>
    </row>
    <row r="85" spans="2:10" x14ac:dyDescent="0.25">
      <c r="C85" s="3">
        <v>91</v>
      </c>
      <c r="D85" s="3">
        <f t="shared" si="12"/>
        <v>10.473099999999999</v>
      </c>
      <c r="E85" s="3">
        <f t="shared" si="13"/>
        <v>38.401366666666661</v>
      </c>
      <c r="F85" s="2">
        <f>(0.334*0.5^((C85+5)/6.31))*'EF Adjustment Table'!I$20</f>
        <v>1.3467674648586062E-5</v>
      </c>
      <c r="G85" s="8">
        <f t="shared" si="14"/>
        <v>1.7956899531448082E-2</v>
      </c>
      <c r="H85" s="2">
        <f>IF(Calculator!$E$11='GWP reference values'!$C$6,G85*'GWP reference values'!$D$6/1000,IF(Calculator!$E$11='GWP reference values'!$C$7,G85*'GWP reference values'!$D$7/1000,IF(Calculator!$E$11='GWP reference values'!$C$8,G85*'GWP reference values'!$D$8/1000,"Error")))</f>
        <v>5.0279318688054627E-4</v>
      </c>
      <c r="I85" s="2">
        <f t="shared" si="10"/>
        <v>38.401869459853543</v>
      </c>
      <c r="J85" s="3">
        <f t="shared" si="11"/>
        <v>91</v>
      </c>
    </row>
    <row r="86" spans="2:10" x14ac:dyDescent="0.25">
      <c r="C86" s="3">
        <v>92</v>
      </c>
      <c r="D86" s="3">
        <f t="shared" si="12"/>
        <v>10.607199999999999</v>
      </c>
      <c r="E86" s="3">
        <f t="shared" si="13"/>
        <v>38.893066666666662</v>
      </c>
      <c r="F86" s="2">
        <f>(0.334*0.5^((C86+5)/6.31))*'EF Adjustment Table'!I$20</f>
        <v>1.206662461407868E-5</v>
      </c>
      <c r="G86" s="8">
        <f t="shared" si="14"/>
        <v>1.6088832818771572E-2</v>
      </c>
      <c r="H86" s="2">
        <f>IF(Calculator!$E$11='GWP reference values'!$C$6,G86*'GWP reference values'!$D$6/1000,IF(Calculator!$E$11='GWP reference values'!$C$7,G86*'GWP reference values'!$D$7/1000,IF(Calculator!$E$11='GWP reference values'!$C$8,G86*'GWP reference values'!$D$8/1000,"Error")))</f>
        <v>4.5048731892560398E-4</v>
      </c>
      <c r="I86" s="2">
        <f t="shared" si="10"/>
        <v>38.893517153985592</v>
      </c>
      <c r="J86" s="3">
        <f t="shared" si="11"/>
        <v>92</v>
      </c>
    </row>
    <row r="87" spans="2:10" x14ac:dyDescent="0.25">
      <c r="C87" s="3">
        <v>93</v>
      </c>
      <c r="D87" s="3">
        <f t="shared" si="12"/>
        <v>10.741299999999999</v>
      </c>
      <c r="E87" s="3">
        <f t="shared" si="13"/>
        <v>39.384766666666664</v>
      </c>
      <c r="F87" s="2">
        <f>(0.334*0.5^((C87+5)/6.31))*'EF Adjustment Table'!I$20</f>
        <v>1.0811326630345628E-5</v>
      </c>
      <c r="G87" s="8">
        <f t="shared" si="14"/>
        <v>1.4415102173794171E-2</v>
      </c>
      <c r="H87" s="2">
        <f>IF(Calculator!$E$11='GWP reference values'!$C$6,G87*'GWP reference values'!$D$6/1000,IF(Calculator!$E$11='GWP reference values'!$C$7,G87*'GWP reference values'!$D$7/1000,IF(Calculator!$E$11='GWP reference values'!$C$8,G87*'GWP reference values'!$D$8/1000,"Error")))</f>
        <v>4.0362286086623677E-4</v>
      </c>
      <c r="I87" s="2">
        <f t="shared" si="10"/>
        <v>39.38517028952753</v>
      </c>
      <c r="J87" s="3">
        <f t="shared" si="11"/>
        <v>93</v>
      </c>
    </row>
    <row r="88" spans="2:10" x14ac:dyDescent="0.25">
      <c r="C88" s="3">
        <v>94</v>
      </c>
      <c r="D88" s="3">
        <f t="shared" si="12"/>
        <v>10.875399999999999</v>
      </c>
      <c r="E88" s="3">
        <f t="shared" si="13"/>
        <v>39.876466666666659</v>
      </c>
      <c r="F88" s="2">
        <f>(0.334*0.5^((C88+5)/6.31))*'EF Adjustment Table'!I$20</f>
        <v>9.6866180266887535E-6</v>
      </c>
      <c r="G88" s="8">
        <f t="shared" si="14"/>
        <v>1.291549070225167E-2</v>
      </c>
      <c r="H88" s="2">
        <f>IF(Calculator!$E$11='GWP reference values'!$C$6,G88*'GWP reference values'!$D$6/1000,IF(Calculator!$E$11='GWP reference values'!$C$7,G88*'GWP reference values'!$D$7/1000,IF(Calculator!$E$11='GWP reference values'!$C$8,G88*'GWP reference values'!$D$8/1000,"Error")))</f>
        <v>3.6163373966304673E-4</v>
      </c>
      <c r="I88" s="2">
        <f t="shared" si="10"/>
        <v>39.876828300406324</v>
      </c>
      <c r="J88" s="3">
        <f t="shared" si="11"/>
        <v>94</v>
      </c>
    </row>
    <row r="89" spans="2:10" x14ac:dyDescent="0.25">
      <c r="C89" s="3">
        <v>95</v>
      </c>
      <c r="D89" s="3">
        <f t="shared" si="12"/>
        <v>11.009499999999999</v>
      </c>
      <c r="E89" s="3">
        <f t="shared" si="13"/>
        <v>40.368166666666667</v>
      </c>
      <c r="F89" s="2">
        <f>(0.334*0.5^((C89+5)/6.31))*'EF Adjustment Table'!I$20</f>
        <v>8.678913513870208E-6</v>
      </c>
      <c r="G89" s="8">
        <f t="shared" si="14"/>
        <v>1.1571884685160279E-2</v>
      </c>
      <c r="H89" s="2">
        <f>IF(Calculator!$E$11='GWP reference values'!$C$6,G89*'GWP reference values'!$D$6/1000,IF(Calculator!$E$11='GWP reference values'!$C$7,G89*'GWP reference values'!$D$7/1000,IF(Calculator!$E$11='GWP reference values'!$C$8,G89*'GWP reference values'!$D$8/1000,"Error")))</f>
        <v>3.2401277118448778E-4</v>
      </c>
      <c r="I89" s="2">
        <f t="shared" si="10"/>
        <v>40.368490679437855</v>
      </c>
      <c r="J89" s="3">
        <f t="shared" si="11"/>
        <v>95</v>
      </c>
    </row>
    <row r="90" spans="2:10" x14ac:dyDescent="0.25">
      <c r="C90" s="3">
        <v>96</v>
      </c>
      <c r="D90" s="3">
        <f t="shared" ref="D90:D93" si="15">0.1341*C90-1.73</f>
        <v>11.143599999999999</v>
      </c>
      <c r="E90" s="3">
        <f t="shared" ref="E90:E93" si="16">D90/12*44</f>
        <v>40.859866666666669</v>
      </c>
      <c r="F90" s="2">
        <f>(0.334*0.5^((C90+5)/6.31))*'EF Adjustment Table'!I$20</f>
        <v>7.7760410882008617E-6</v>
      </c>
      <c r="G90" s="8">
        <f t="shared" ref="G90:G93" si="17">F90*1000*16/12</f>
        <v>1.0368054784267815E-2</v>
      </c>
      <c r="H90" s="2">
        <f>IF(Calculator!$E$11='GWP reference values'!$C$6,G90*'GWP reference values'!$D$6/1000,IF(Calculator!$E$11='GWP reference values'!$C$7,G90*'GWP reference values'!$D$7/1000,IF(Calculator!$E$11='GWP reference values'!$C$8,G90*'GWP reference values'!$D$8/1000,"Error")))</f>
        <v>2.9030553395949883E-4</v>
      </c>
      <c r="I90" s="2">
        <f t="shared" si="10"/>
        <v>40.860156972200627</v>
      </c>
      <c r="J90" s="3">
        <f t="shared" si="11"/>
        <v>96</v>
      </c>
    </row>
    <row r="91" spans="2:10" x14ac:dyDescent="0.25">
      <c r="C91" s="3">
        <v>97</v>
      </c>
      <c r="D91" s="3">
        <f t="shared" si="15"/>
        <v>11.277699999999999</v>
      </c>
      <c r="E91" s="3">
        <f t="shared" si="16"/>
        <v>41.351566666666663</v>
      </c>
      <c r="F91" s="2">
        <f>(0.334*0.5^((C91+5)/6.31))*'EF Adjustment Table'!I$20</f>
        <v>6.9670950066218421E-6</v>
      </c>
      <c r="G91" s="8">
        <f t="shared" si="17"/>
        <v>9.2894600088291226E-3</v>
      </c>
      <c r="H91" s="2">
        <f>IF(Calculator!$E$11='GWP reference values'!$C$6,G91*'GWP reference values'!$D$6/1000,IF(Calculator!$E$11='GWP reference values'!$C$7,G91*'GWP reference values'!$D$7/1000,IF(Calculator!$E$11='GWP reference values'!$C$8,G91*'GWP reference values'!$D$8/1000,"Error")))</f>
        <v>2.6010488024721544E-4</v>
      </c>
      <c r="I91" s="2">
        <f t="shared" si="10"/>
        <v>41.351826771546911</v>
      </c>
      <c r="J91" s="3">
        <f t="shared" si="11"/>
        <v>97</v>
      </c>
    </row>
    <row r="92" spans="2:10" x14ac:dyDescent="0.25">
      <c r="C92" s="3">
        <v>98</v>
      </c>
      <c r="D92" s="3">
        <f t="shared" si="15"/>
        <v>11.411799999999999</v>
      </c>
      <c r="E92" s="3">
        <f t="shared" si="16"/>
        <v>41.843266666666665</v>
      </c>
      <c r="F92" s="2">
        <f>(0.334*0.5^((C92+5)/6.31))*'EF Adjustment Table'!I$20</f>
        <v>6.2423040568739921E-6</v>
      </c>
      <c r="G92" s="8">
        <f t="shared" si="17"/>
        <v>8.3230720758319891E-3</v>
      </c>
      <c r="H92" s="2">
        <f>IF(Calculator!$E$11='GWP reference values'!$C$6,G92*'GWP reference values'!$D$6/1000,IF(Calculator!$E$11='GWP reference values'!$C$7,G92*'GWP reference values'!$D$7/1000,IF(Calculator!$E$11='GWP reference values'!$C$8,G92*'GWP reference values'!$D$8/1000,"Error")))</f>
        <v>2.3304601812329569E-4</v>
      </c>
      <c r="I92" s="2">
        <f t="shared" si="10"/>
        <v>41.843499712684789</v>
      </c>
      <c r="J92" s="3">
        <f t="shared" si="11"/>
        <v>98</v>
      </c>
    </row>
    <row r="93" spans="2:10" x14ac:dyDescent="0.25">
      <c r="C93" s="3">
        <v>99</v>
      </c>
      <c r="D93" s="3">
        <f t="shared" si="15"/>
        <v>11.5459</v>
      </c>
      <c r="E93" s="3">
        <f t="shared" si="16"/>
        <v>42.334966666666666</v>
      </c>
      <c r="F93" s="2">
        <f>(0.334*0.5^((C93+5)/6.31))*'EF Adjustment Table'!I$20</f>
        <v>5.5929135315981919E-6</v>
      </c>
      <c r="G93" s="8">
        <f t="shared" si="17"/>
        <v>7.4572180421309227E-3</v>
      </c>
      <c r="H93" s="2">
        <f>IF(Calculator!$E$11='GWP reference values'!$C$6,G93*'GWP reference values'!$D$6/1000,IF(Calculator!$E$11='GWP reference values'!$C$7,G93*'GWP reference values'!$D$7/1000,IF(Calculator!$E$11='GWP reference values'!$C$8,G93*'GWP reference values'!$D$8/1000,"Error")))</f>
        <v>2.0880210517966582E-4</v>
      </c>
      <c r="I93" s="2">
        <f t="shared" si="10"/>
        <v>42.335175468771844</v>
      </c>
      <c r="J93" s="3">
        <f t="shared" si="11"/>
        <v>99</v>
      </c>
    </row>
    <row r="94" spans="2:10" x14ac:dyDescent="0.25">
      <c r="B94" s="4"/>
      <c r="C94" s="14">
        <v>100</v>
      </c>
      <c r="D94" s="14">
        <f t="shared" si="0"/>
        <v>11.68</v>
      </c>
      <c r="E94" s="14">
        <f t="shared" si="1"/>
        <v>42.826666666666661</v>
      </c>
      <c r="F94" s="15">
        <f>(0.334*0.5^((C94+5)/6.31))*'EF Adjustment Table'!I$20</f>
        <v>5.0110794807388527E-6</v>
      </c>
      <c r="G94" s="16">
        <f t="shared" si="2"/>
        <v>6.6814393076518042E-3</v>
      </c>
      <c r="H94" s="15">
        <f>IF(Calculator!$E$11='GWP reference values'!$C$6,G94*'GWP reference values'!$D$6/1000,IF(Calculator!$E$11='GWP reference values'!$C$7,G94*'GWP reference values'!$D$7/1000,IF(Calculator!$E$11='GWP reference values'!$C$8,G94*'GWP reference values'!$D$8/1000,"Error")))</f>
        <v>1.8708030061425051E-4</v>
      </c>
      <c r="I94" s="15">
        <f t="shared" si="10"/>
        <v>42.826853746967274</v>
      </c>
      <c r="J94" s="14">
        <f t="shared" si="11"/>
        <v>100</v>
      </c>
    </row>
    <row r="96" spans="2:10" x14ac:dyDescent="0.25">
      <c r="B96" t="s">
        <v>262</v>
      </c>
    </row>
    <row r="97" spans="2:2" x14ac:dyDescent="0.25">
      <c r="B97" t="s">
        <v>269</v>
      </c>
    </row>
  </sheetData>
  <pageMargins left="0.7" right="0.7" top="0.75" bottom="0.75" header="0.3" footer="0.3"/>
  <pageSetup paperSize="9" orientation="portrait" horizontalDpi="360" verticalDpi="36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G16"/>
  <sheetViews>
    <sheetView workbookViewId="0">
      <selection activeCell="H29" sqref="H29"/>
    </sheetView>
  </sheetViews>
  <sheetFormatPr defaultRowHeight="15" x14ac:dyDescent="0.25"/>
  <cols>
    <col min="2" max="2" width="25.5703125" customWidth="1"/>
    <col min="3" max="3" width="13.5703125" customWidth="1"/>
    <col min="5" max="5" width="14.28515625" customWidth="1"/>
    <col min="6" max="6" width="13" customWidth="1"/>
  </cols>
  <sheetData>
    <row r="2" spans="2:7" ht="18" x14ac:dyDescent="0.25">
      <c r="B2" s="19" t="s">
        <v>270</v>
      </c>
      <c r="C2" s="20" t="s">
        <v>271</v>
      </c>
      <c r="D2" s="20" t="s">
        <v>272</v>
      </c>
      <c r="E2" s="20" t="s">
        <v>273</v>
      </c>
      <c r="F2" s="20" t="s">
        <v>274</v>
      </c>
      <c r="G2" s="20" t="s">
        <v>275</v>
      </c>
    </row>
    <row r="3" spans="2:7" ht="18" x14ac:dyDescent="0.25">
      <c r="B3" s="21"/>
      <c r="C3" s="22" t="s">
        <v>276</v>
      </c>
      <c r="D3" s="22" t="s">
        <v>165</v>
      </c>
      <c r="E3" s="22" t="s">
        <v>277</v>
      </c>
      <c r="F3" s="22" t="s">
        <v>277</v>
      </c>
      <c r="G3" s="22"/>
    </row>
    <row r="4" spans="2:7" x14ac:dyDescent="0.25">
      <c r="B4" s="23" t="s">
        <v>168</v>
      </c>
      <c r="C4" s="24">
        <f>'EF Adjustment Table'!C8/12*44</f>
        <v>-3.5399999999999996</v>
      </c>
      <c r="D4" s="25">
        <f>'EF Adjustment Table'!D8</f>
        <v>5.7013083858721449</v>
      </c>
      <c r="E4" s="26">
        <f>'EF Adjustment Table'!E8</f>
        <v>113.07</v>
      </c>
      <c r="F4" s="27">
        <f>'EF Adjustment Table'!H8</f>
        <v>137.45478910907505</v>
      </c>
      <c r="G4" s="24">
        <f>'EF Adjustment Table'!I8</f>
        <v>0.82259774819686426</v>
      </c>
    </row>
    <row r="5" spans="2:7" x14ac:dyDescent="0.25">
      <c r="B5" s="23" t="s">
        <v>171</v>
      </c>
      <c r="C5" s="24">
        <f>'EF Adjustment Table'!C9/12*44</f>
        <v>-5.0599999999999996</v>
      </c>
      <c r="D5" s="25">
        <f>'EF Adjustment Table'!D9</f>
        <v>2.6099925428784498</v>
      </c>
      <c r="E5" s="26">
        <f>'EF Adjustment Table'!E9</f>
        <v>143.25</v>
      </c>
      <c r="F5" s="27">
        <f>'EF Adjustment Table'!H9</f>
        <v>193.03528691913539</v>
      </c>
      <c r="G5" s="24">
        <f>'EF Adjustment Table'!I9</f>
        <v>0.74209229973589752</v>
      </c>
    </row>
    <row r="6" spans="2:7" x14ac:dyDescent="0.25">
      <c r="B6" s="23" t="s">
        <v>174</v>
      </c>
      <c r="C6" s="24">
        <f>'EF Adjustment Table'!C10/12*44</f>
        <v>-0.57999999999999985</v>
      </c>
      <c r="D6" s="25">
        <f>'EF Adjustment Table'!D10</f>
        <v>11.721239238017761</v>
      </c>
      <c r="E6" s="26">
        <f>'EF Adjustment Table'!E10</f>
        <v>111.11</v>
      </c>
      <c r="F6" s="27">
        <f>'EF Adjustment Table'!H10</f>
        <v>70.952573955262537</v>
      </c>
      <c r="G6" s="24">
        <f>'EF Adjustment Table'!I10</f>
        <v>1.5659756060443668</v>
      </c>
    </row>
    <row r="7" spans="2:7" x14ac:dyDescent="0.25">
      <c r="B7" s="23" t="s">
        <v>175</v>
      </c>
      <c r="C7" s="24">
        <f>'EF Adjustment Table'!C11/12*44</f>
        <v>-0.68999999999999984</v>
      </c>
      <c r="D7" s="25">
        <f>'EF Adjustment Table'!D11</f>
        <v>11.497525591485322</v>
      </c>
      <c r="E7" s="26">
        <f>'EF Adjustment Table'!E11</f>
        <v>111.44</v>
      </c>
      <c r="F7" s="27">
        <f>'EF Adjustment Table'!H11</f>
        <v>72.717814908909588</v>
      </c>
      <c r="G7" s="24">
        <f>'EF Adjustment Table'!I11</f>
        <v>1.5324992938744926</v>
      </c>
    </row>
    <row r="8" spans="2:7" x14ac:dyDescent="0.25">
      <c r="B8" s="23" t="s">
        <v>177</v>
      </c>
      <c r="C8" s="24">
        <f>'EF Adjustment Table'!C12/12*44</f>
        <v>0.03</v>
      </c>
      <c r="D8" s="25">
        <f>'EF Adjustment Table'!D12</f>
        <v>12.961833096061286</v>
      </c>
      <c r="E8" s="26">
        <f>'EF Adjustment Table'!E12</f>
        <v>61.75</v>
      </c>
      <c r="F8" s="27">
        <f>'EF Adjustment Table'!H12</f>
        <v>61.913217608210893</v>
      </c>
      <c r="G8" s="24">
        <f>'EF Adjustment Table'!I12</f>
        <v>0.99736376795591952</v>
      </c>
    </row>
    <row r="9" spans="2:7" x14ac:dyDescent="0.25">
      <c r="B9" s="23" t="s">
        <v>178</v>
      </c>
      <c r="C9" s="24">
        <f>'EF Adjustment Table'!C13/12*44</f>
        <v>5.44</v>
      </c>
      <c r="D9" s="25">
        <f>'EF Adjustment Table'!D13</f>
        <v>23.964476984611213</v>
      </c>
      <c r="E9" s="26">
        <f>'EF Adjustment Table'!E13</f>
        <v>42.72</v>
      </c>
      <c r="F9" s="27">
        <f>'EF Adjustment Table'!H13</f>
        <v>18.487674678882208</v>
      </c>
      <c r="G9" s="24">
        <f>'EF Adjustment Table'!I13</f>
        <v>1.5659756060443668</v>
      </c>
    </row>
    <row r="10" spans="2:7" x14ac:dyDescent="0.25">
      <c r="B10" s="23" t="s">
        <v>181</v>
      </c>
      <c r="C10" s="24">
        <f>'EF Adjustment Table'!C14/12*44</f>
        <v>-5.0599999999999996</v>
      </c>
      <c r="D10" s="25">
        <f>'EF Adjustment Table'!D14</f>
        <v>2.6099925428784498</v>
      </c>
      <c r="E10" s="26">
        <f>'EF Adjustment Table'!E14</f>
        <v>143.25</v>
      </c>
      <c r="F10" s="27">
        <f>'EF Adjustment Table'!H14</f>
        <v>193.03528691913539</v>
      </c>
      <c r="G10" s="24">
        <f>'EF Adjustment Table'!I14</f>
        <v>0.74209229973589752</v>
      </c>
    </row>
    <row r="11" spans="2:7" x14ac:dyDescent="0.25">
      <c r="B11" s="23" t="s">
        <v>184</v>
      </c>
      <c r="C11" s="24">
        <f>'EF Adjustment Table'!C15/12*44</f>
        <v>15.29</v>
      </c>
      <c r="D11" s="25">
        <f>'EF Adjustment Table'!D15</f>
        <v>43.997017151379573</v>
      </c>
      <c r="E11" s="26">
        <f>'EF Adjustment Table'!E15</f>
        <v>2.5</v>
      </c>
      <c r="F11" s="27">
        <f>'EF Adjustment Table'!H15</f>
        <v>2.0473572224088676</v>
      </c>
      <c r="G11" s="24">
        <f>'EF Adjustment Table'!I15</f>
        <v>1.2210863705839103</v>
      </c>
    </row>
    <row r="12" spans="2:7" x14ac:dyDescent="0.25">
      <c r="B12" s="23" t="s">
        <v>185</v>
      </c>
      <c r="C12" s="24">
        <f>'EF Adjustment Table'!C16/12*44</f>
        <v>10.27</v>
      </c>
      <c r="D12" s="25">
        <f>'EF Adjustment Table'!D16</f>
        <v>33.787539827808288</v>
      </c>
      <c r="E12" s="26">
        <f>'EF Adjustment Table'!E16</f>
        <v>42.72</v>
      </c>
      <c r="F12" s="27">
        <f>'EF Adjustment Table'!H16</f>
        <v>6.2842761282827189</v>
      </c>
      <c r="G12" s="24">
        <f>'EF Adjustment Table'!I16</f>
        <v>1.5659756060443668</v>
      </c>
    </row>
    <row r="13" spans="2:7" x14ac:dyDescent="0.25">
      <c r="B13" s="23" t="s">
        <v>187</v>
      </c>
      <c r="C13" s="24">
        <f>'EF Adjustment Table'!C17/12*44</f>
        <v>5.44</v>
      </c>
      <c r="D13" s="25">
        <f>'EF Adjustment Table'!D17</f>
        <v>23.964476984611213</v>
      </c>
      <c r="E13" s="26">
        <f>'EF Adjustment Table'!E17</f>
        <v>42.72</v>
      </c>
      <c r="F13" s="27">
        <f>'EF Adjustment Table'!H17</f>
        <v>18.487674678882208</v>
      </c>
      <c r="G13" s="24">
        <f>'EF Adjustment Table'!I17</f>
        <v>1.5659756060443668</v>
      </c>
    </row>
    <row r="14" spans="2:7" x14ac:dyDescent="0.25">
      <c r="B14" s="23" t="s">
        <v>190</v>
      </c>
      <c r="C14" s="24">
        <f>'EF Adjustment Table'!C18/12*44</f>
        <v>11.78</v>
      </c>
      <c r="D14" s="25">
        <f>'EF Adjustment Table'!D18</f>
        <v>36.858518066571754</v>
      </c>
      <c r="E14" s="26">
        <f>'EF Adjustment Table'!E18</f>
        <v>35.909999999999997</v>
      </c>
      <c r="F14" s="27">
        <f>'EF Adjustment Table'!H18</f>
        <v>4.4848577445377096</v>
      </c>
      <c r="G14" s="24">
        <f>'EF Adjustment Table'!I18</f>
        <v>1.5324992938744926</v>
      </c>
    </row>
    <row r="15" spans="2:7" x14ac:dyDescent="0.25">
      <c r="B15" s="23" t="s">
        <v>192</v>
      </c>
      <c r="C15" s="24">
        <f>'EF Adjustment Table'!C19/12*44</f>
        <v>14.869999999999997</v>
      </c>
      <c r="D15" s="25">
        <f>'EF Adjustment Table'!D19</f>
        <v>43.142837773710255</v>
      </c>
      <c r="E15" s="26">
        <f>'EF Adjustment Table'!E19</f>
        <v>29.03</v>
      </c>
      <c r="F15" s="27">
        <f>'EF Adjustment Table'!H19</f>
        <v>2.2487635927577752</v>
      </c>
      <c r="G15" s="24">
        <f>'EF Adjustment Table'!I19</f>
        <v>1.5324992938744926</v>
      </c>
    </row>
    <row r="16" spans="2:7" x14ac:dyDescent="0.25">
      <c r="B16" s="28" t="s">
        <v>195</v>
      </c>
      <c r="C16" s="29">
        <f>'EF Adjustment Table'!C20/12*44</f>
        <v>27.059999999999995</v>
      </c>
      <c r="D16" s="30">
        <f>'EF Adjustment Table'!D20</f>
        <v>67.934377330350486</v>
      </c>
      <c r="E16" s="22">
        <f>'EF Adjustment Table'!E20</f>
        <v>1.96</v>
      </c>
      <c r="F16" s="31">
        <f>'EF Adjustment Table'!H20</f>
        <v>0.14764489582362902</v>
      </c>
      <c r="G16" s="29">
        <f>'EF Adjustment Table'!I20</f>
        <v>1.5324992938744926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2:E23"/>
  <sheetViews>
    <sheetView workbookViewId="0">
      <selection activeCell="H10" sqref="H10"/>
    </sheetView>
  </sheetViews>
  <sheetFormatPr defaultRowHeight="15" x14ac:dyDescent="0.25"/>
  <cols>
    <col min="3" max="3" width="7.5703125" customWidth="1"/>
    <col min="4" max="4" width="12.140625" customWidth="1"/>
    <col min="5" max="5" width="13" customWidth="1"/>
  </cols>
  <sheetData>
    <row r="2" spans="3:5" ht="18" x14ac:dyDescent="0.25">
      <c r="C2" s="39" t="s">
        <v>272</v>
      </c>
      <c r="D2" s="20" t="s">
        <v>278</v>
      </c>
      <c r="E2" s="20" t="s">
        <v>279</v>
      </c>
    </row>
    <row r="3" spans="3:5" ht="18" x14ac:dyDescent="0.25">
      <c r="C3" s="32" t="s">
        <v>165</v>
      </c>
      <c r="D3" s="22" t="s">
        <v>276</v>
      </c>
      <c r="E3" s="22" t="s">
        <v>277</v>
      </c>
    </row>
    <row r="4" spans="3:5" x14ac:dyDescent="0.25">
      <c r="C4" s="35">
        <f>'Near-natural Fen'!C7</f>
        <v>2.6099925428784498</v>
      </c>
      <c r="D4" s="35">
        <f>'Near-natural Fen'!E7</f>
        <v>-5.0599999999999996</v>
      </c>
      <c r="E4" s="36">
        <f>'Near-natural Fen'!G7</f>
        <v>143.24999999999997</v>
      </c>
    </row>
    <row r="5" spans="3:5" x14ac:dyDescent="0.25">
      <c r="C5" s="33">
        <f>'Near-natural Fen'!C8</f>
        <v>-5</v>
      </c>
      <c r="D5" s="33">
        <f>'Near-natural Fen'!E8</f>
        <v>-8.8018333333333345</v>
      </c>
      <c r="E5" s="34">
        <f>'Near-natural Fen'!G8</f>
        <v>330.47843748238637</v>
      </c>
    </row>
    <row r="6" spans="3:5" x14ac:dyDescent="0.25">
      <c r="C6" s="33">
        <f>'Near-natural Fen'!C9</f>
        <v>-4</v>
      </c>
      <c r="D6" s="33">
        <f>'Near-natural Fen'!E9</f>
        <v>-8.3101333333333329</v>
      </c>
      <c r="E6" s="34">
        <f>'Near-natural Fen'!G9</f>
        <v>296.09857322814736</v>
      </c>
    </row>
    <row r="7" spans="3:5" x14ac:dyDescent="0.25">
      <c r="C7" s="33">
        <f>'Near-natural Fen'!C10</f>
        <v>-3</v>
      </c>
      <c r="D7" s="33">
        <f>'Near-natural Fen'!E10</f>
        <v>-7.8184333333333331</v>
      </c>
      <c r="E7" s="34">
        <f>'Near-natural Fen'!G10</f>
        <v>265.29526626806734</v>
      </c>
    </row>
    <row r="8" spans="3:5" x14ac:dyDescent="0.25">
      <c r="C8" s="33">
        <f>'Near-natural Fen'!C11</f>
        <v>-2</v>
      </c>
      <c r="D8" s="33">
        <f>'Near-natural Fen'!E11</f>
        <v>-7.3267333333333333</v>
      </c>
      <c r="E8" s="34">
        <f>'Near-natural Fen'!G11</f>
        <v>237.69644526458066</v>
      </c>
    </row>
    <row r="9" spans="3:5" x14ac:dyDescent="0.25">
      <c r="C9" s="33">
        <f>'Near-natural Fen'!C12</f>
        <v>-1</v>
      </c>
      <c r="D9" s="33">
        <f>'Near-natural Fen'!E12</f>
        <v>-6.8350333333333344</v>
      </c>
      <c r="E9" s="34">
        <f>'Near-natural Fen'!G12</f>
        <v>212.96874567798662</v>
      </c>
    </row>
    <row r="10" spans="3:5" x14ac:dyDescent="0.25">
      <c r="C10" s="33">
        <f>'Near-natural Fen'!C13</f>
        <v>0</v>
      </c>
      <c r="D10" s="33">
        <f>'Near-natural Fen'!E13</f>
        <v>-6.3433333333333337</v>
      </c>
      <c r="E10" s="34">
        <f>'Near-natural Fen'!G13</f>
        <v>190.81348307573299</v>
      </c>
    </row>
    <row r="11" spans="3:5" x14ac:dyDescent="0.25">
      <c r="C11" s="33">
        <f>'Near-natural Fen'!C14</f>
        <v>1</v>
      </c>
      <c r="D11" s="33">
        <f>'Near-natural Fen'!E14</f>
        <v>-5.8516333333333321</v>
      </c>
      <c r="E11" s="34">
        <f>'Near-natural Fen'!G14</f>
        <v>170.96304534067838</v>
      </c>
    </row>
    <row r="12" spans="3:5" x14ac:dyDescent="0.25">
      <c r="C12" s="33">
        <f>'Near-natural Fen'!C15</f>
        <v>2</v>
      </c>
      <c r="D12" s="33">
        <f>'Near-natural Fen'!E15</f>
        <v>-5.3599333333333332</v>
      </c>
      <c r="E12" s="34">
        <f>'Near-natural Fen'!G15</f>
        <v>153.17766020003032</v>
      </c>
    </row>
    <row r="13" spans="3:5" x14ac:dyDescent="0.25">
      <c r="C13" s="33">
        <f>'Near-natural Fen'!C16</f>
        <v>3</v>
      </c>
      <c r="D13" s="33">
        <f>'Near-natural Fen'!E16</f>
        <v>-4.8682333333333343</v>
      </c>
      <c r="E13" s="34">
        <f>'Near-natural Fen'!G16</f>
        <v>137.24249903012893</v>
      </c>
    </row>
    <row r="14" spans="3:5" x14ac:dyDescent="0.25">
      <c r="C14" s="33">
        <f>'Near-natural Fen'!C17</f>
        <v>4</v>
      </c>
      <c r="D14" s="33">
        <f>'Near-natural Fen'!E17</f>
        <v>-4.3765333333333327</v>
      </c>
      <c r="E14" s="34">
        <f>'Near-natural Fen'!G17</f>
        <v>122.96508195410611</v>
      </c>
    </row>
    <row r="15" spans="3:5" x14ac:dyDescent="0.25">
      <c r="C15" s="33">
        <f>'Near-natural Fen'!C18</f>
        <v>5</v>
      </c>
      <c r="D15" s="33">
        <f>'Near-natural Fen'!E18</f>
        <v>-3.8848333333333329</v>
      </c>
      <c r="E15" s="34">
        <f>'Near-natural Fen'!G18</f>
        <v>110.17295288874509</v>
      </c>
    </row>
    <row r="16" spans="3:5" x14ac:dyDescent="0.25">
      <c r="C16" s="33">
        <f>'Near-natural Fen'!C19</f>
        <v>6</v>
      </c>
      <c r="D16" s="33">
        <f>'Near-natural Fen'!E19</f>
        <v>-3.3931333333333331</v>
      </c>
      <c r="E16" s="34">
        <f>'Near-natural Fen'!G19</f>
        <v>98.711596457569101</v>
      </c>
    </row>
    <row r="17" spans="3:5" x14ac:dyDescent="0.25">
      <c r="C17" s="33">
        <f>'Near-natural Fen'!C20</f>
        <v>7</v>
      </c>
      <c r="D17" s="33">
        <f>'Near-natural Fen'!E20</f>
        <v>-2.9014333333333333</v>
      </c>
      <c r="E17" s="34">
        <f>'Near-natural Fen'!G20</f>
        <v>88.442571608674612</v>
      </c>
    </row>
    <row r="18" spans="3:5" x14ac:dyDescent="0.25">
      <c r="C18" s="33">
        <f>'Near-natural Fen'!C21</f>
        <v>8</v>
      </c>
      <c r="D18" s="33">
        <f>'Near-natural Fen'!E21</f>
        <v>-2.4097333333333331</v>
      </c>
      <c r="E18" s="34">
        <f>'Near-natural Fen'!G21</f>
        <v>79.241839393387195</v>
      </c>
    </row>
    <row r="19" spans="3:5" x14ac:dyDescent="0.25">
      <c r="C19" s="33">
        <f>'Near-natural Fen'!C22</f>
        <v>9</v>
      </c>
      <c r="D19" s="33">
        <f>'Near-natural Fen'!E22</f>
        <v>-1.918033333333333</v>
      </c>
      <c r="E19" s="34">
        <f>'Near-natural Fen'!G22</f>
        <v>70.998264707077865</v>
      </c>
    </row>
    <row r="20" spans="3:5" x14ac:dyDescent="0.25">
      <c r="C20" s="33">
        <f>'Near-natural Fen'!C23</f>
        <v>10</v>
      </c>
      <c r="D20" s="33">
        <f>'Near-natural Fen'!E23</f>
        <v>-1.4263333333333335</v>
      </c>
      <c r="E20" s="34">
        <f>'Near-natural Fen'!G23</f>
        <v>63.612273894754566</v>
      </c>
    </row>
    <row r="21" spans="3:5" x14ac:dyDescent="0.25">
      <c r="C21" s="33">
        <f>'Near-natural Fen'!C24</f>
        <v>11</v>
      </c>
      <c r="D21" s="33">
        <f>'Near-natural Fen'!E24</f>
        <v>-0.93463333333333376</v>
      </c>
      <c r="E21" s="34">
        <f>'Near-natural Fen'!G24</f>
        <v>56.994652006725318</v>
      </c>
    </row>
    <row r="22" spans="3:5" x14ac:dyDescent="0.25">
      <c r="C22" s="33">
        <f>'Near-natural Fen'!C25</f>
        <v>12</v>
      </c>
      <c r="D22" s="33">
        <f>'Near-natural Fen'!E25</f>
        <v>-0.4429333333333334</v>
      </c>
      <c r="E22" s="34">
        <f>'Near-natural Fen'!G25</f>
        <v>51.065465176455213</v>
      </c>
    </row>
    <row r="23" spans="3:5" x14ac:dyDescent="0.25">
      <c r="C23" s="37">
        <v>13</v>
      </c>
      <c r="D23" s="37">
        <f>'Near-natural Fen'!E26</f>
        <v>4.8766666666666993E-2</v>
      </c>
      <c r="E23" s="38">
        <f>'Near-natural Fen'!G26</f>
        <v>45.753095104081979</v>
      </c>
    </row>
  </sheetData>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D120"/>
  <sheetViews>
    <sheetView topLeftCell="A5" zoomScale="70" zoomScaleNormal="70" workbookViewId="0">
      <selection activeCell="E22" sqref="E22"/>
    </sheetView>
  </sheetViews>
  <sheetFormatPr defaultColWidth="9" defaultRowHeight="15" x14ac:dyDescent="0.25"/>
  <cols>
    <col min="1" max="3" width="9" style="159"/>
    <col min="4" max="4" width="36.42578125" style="159" customWidth="1"/>
    <col min="5" max="5" width="29.42578125" style="159" customWidth="1"/>
    <col min="6" max="8" width="9" style="159"/>
    <col min="9" max="9" width="39.28515625" style="159" customWidth="1"/>
    <col min="10" max="10" width="16.5703125" style="159" customWidth="1"/>
    <col min="11" max="13" width="9" style="159"/>
    <col min="14" max="14" width="35.140625" style="159" customWidth="1"/>
    <col min="15" max="15" width="12.140625" style="159" customWidth="1"/>
    <col min="16" max="18" width="9" style="159"/>
    <col min="19" max="19" width="9.140625" style="159" customWidth="1"/>
    <col min="20" max="20" width="9.140625" style="159"/>
    <col min="21" max="21" width="9" style="159"/>
    <col min="22" max="22" width="40.140625" style="159" customWidth="1"/>
    <col min="23" max="23" width="17.140625" style="159" customWidth="1"/>
    <col min="24" max="24" width="8.85546875" style="159" customWidth="1"/>
    <col min="25" max="26" width="9" style="159"/>
    <col min="27" max="27" width="35.7109375" style="159" customWidth="1"/>
    <col min="28" max="28" width="12.140625" style="159" customWidth="1"/>
    <col min="29" max="34" width="9" style="159"/>
    <col min="35" max="35" width="9" style="159" customWidth="1"/>
    <col min="36" max="36" width="36.42578125" style="159" customWidth="1"/>
    <col min="37" max="37" width="29.42578125" style="159" customWidth="1"/>
    <col min="38" max="40" width="9" style="159"/>
    <col min="41" max="41" width="39.28515625" style="159" customWidth="1"/>
    <col min="42" max="42" width="16.5703125" style="159" customWidth="1"/>
    <col min="43" max="45" width="9" style="159"/>
    <col min="46" max="46" width="35.140625" style="159" customWidth="1"/>
    <col min="47" max="47" width="12.140625" style="159" customWidth="1"/>
    <col min="48" max="50" width="9" style="159"/>
    <col min="51" max="51" width="9.140625" style="159" customWidth="1"/>
    <col min="52" max="53" width="9" style="159"/>
    <col min="54" max="54" width="40.140625" style="159" customWidth="1"/>
    <col min="55" max="55" width="17.140625" style="159" customWidth="1"/>
    <col min="56" max="56" width="8.85546875" style="159" customWidth="1"/>
    <col min="57" max="58" width="9" style="159"/>
    <col min="59" max="59" width="35.7109375" style="159" customWidth="1"/>
    <col min="60" max="60" width="12.140625" style="159" customWidth="1"/>
    <col min="61" max="67" width="9" style="159"/>
    <col min="68" max="68" width="36.42578125" style="159" customWidth="1"/>
    <col min="69" max="69" width="29.42578125" style="159" customWidth="1"/>
    <col min="70" max="72" width="9" style="159"/>
    <col min="73" max="73" width="39.28515625" style="159" customWidth="1"/>
    <col min="74" max="74" width="16.5703125" style="159" customWidth="1"/>
    <col min="75" max="77" width="9" style="159"/>
    <col min="78" max="78" width="35.140625" style="159" customWidth="1"/>
    <col min="79" max="79" width="12.140625" style="159" customWidth="1"/>
    <col min="80" max="82" width="9" style="159"/>
    <col min="83" max="83" width="9.140625" style="159" customWidth="1"/>
    <col min="84" max="85" width="9" style="159"/>
    <col min="86" max="86" width="40.140625" style="159" customWidth="1"/>
    <col min="87" max="87" width="17.140625" style="159" customWidth="1"/>
    <col min="88" max="88" width="8.85546875" style="159" customWidth="1"/>
    <col min="89" max="90" width="9" style="159"/>
    <col min="91" max="91" width="35.7109375" style="159" customWidth="1"/>
    <col min="92" max="92" width="12.140625" style="159" customWidth="1"/>
    <col min="93" max="99" width="9" style="159"/>
    <col min="100" max="100" width="36.42578125" style="159" customWidth="1"/>
    <col min="101" max="101" width="29.42578125" style="159" customWidth="1"/>
    <col min="102" max="104" width="9" style="159"/>
    <col min="105" max="105" width="39.28515625" style="159" customWidth="1"/>
    <col min="106" max="106" width="16.5703125" style="159" customWidth="1"/>
    <col min="107" max="109" width="9" style="159"/>
    <col min="110" max="110" width="35.140625" style="159" customWidth="1"/>
    <col min="111" max="111" width="12.140625" style="159" customWidth="1"/>
    <col min="112" max="114" width="9" style="159"/>
    <col min="115" max="115" width="9.140625" style="159" customWidth="1"/>
    <col min="116" max="117" width="9" style="159"/>
    <col min="118" max="118" width="40.140625" style="159" customWidth="1"/>
    <col min="119" max="119" width="17.140625" style="159" customWidth="1"/>
    <col min="120" max="120" width="8.85546875" style="159" customWidth="1"/>
    <col min="121" max="122" width="9" style="159"/>
    <col min="123" max="123" width="35.7109375" style="159" customWidth="1"/>
    <col min="124" max="124" width="12.140625" style="159" customWidth="1"/>
    <col min="125" max="131" width="9" style="159"/>
    <col min="132" max="132" width="36.42578125" style="159" customWidth="1"/>
    <col min="133" max="133" width="29.42578125" style="159" customWidth="1"/>
    <col min="134" max="136" width="9" style="159"/>
    <col min="137" max="137" width="39.28515625" style="159" customWidth="1"/>
    <col min="138" max="138" width="16.5703125" style="159" customWidth="1"/>
    <col min="139" max="141" width="9" style="159"/>
    <col min="142" max="142" width="35.140625" style="159" customWidth="1"/>
    <col min="143" max="143" width="12.140625" style="159" customWidth="1"/>
    <col min="144" max="146" width="9" style="159"/>
    <col min="147" max="147" width="9.140625" style="159" customWidth="1"/>
    <col min="148" max="149" width="9" style="159"/>
    <col min="150" max="150" width="40.140625" style="159" customWidth="1"/>
    <col min="151" max="151" width="17.140625" style="159" customWidth="1"/>
    <col min="152" max="152" width="8.85546875" style="159" customWidth="1"/>
    <col min="153" max="154" width="9" style="159"/>
    <col min="155" max="155" width="35.7109375" style="159" customWidth="1"/>
    <col min="156" max="156" width="12.140625" style="159" customWidth="1"/>
    <col min="157" max="16384" width="9" style="159"/>
  </cols>
  <sheetData>
    <row r="1" spans="2:159" ht="15.75" thickBot="1" x14ac:dyDescent="0.3"/>
    <row r="2" spans="2:159" ht="15.75" thickBot="1" x14ac:dyDescent="0.3">
      <c r="B2" s="310"/>
      <c r="C2" s="311"/>
      <c r="D2" s="311"/>
      <c r="E2" s="311"/>
      <c r="F2" s="312"/>
    </row>
    <row r="3" spans="2:159" ht="32.25" thickBot="1" x14ac:dyDescent="0.55000000000000004">
      <c r="B3" s="313"/>
      <c r="C3" s="391" t="s">
        <v>1</v>
      </c>
      <c r="D3" s="392"/>
      <c r="E3" s="393"/>
      <c r="F3" s="314"/>
    </row>
    <row r="4" spans="2:159" ht="15.75" thickBot="1" x14ac:dyDescent="0.3">
      <c r="B4" s="315"/>
      <c r="C4" s="316"/>
      <c r="D4" s="316"/>
      <c r="E4" s="316"/>
      <c r="F4" s="317"/>
    </row>
    <row r="5" spans="2:159" ht="15.75" thickBot="1" x14ac:dyDescent="0.3">
      <c r="B5" s="318"/>
      <c r="C5" s="319"/>
      <c r="D5" s="319"/>
      <c r="E5" s="319"/>
      <c r="F5" s="320"/>
    </row>
    <row r="6" spans="2:159" ht="27" thickBot="1" x14ac:dyDescent="0.45">
      <c r="B6" s="321"/>
      <c r="C6" s="376" t="s">
        <v>2</v>
      </c>
      <c r="D6" s="377"/>
      <c r="E6" s="378"/>
      <c r="F6" s="322"/>
    </row>
    <row r="7" spans="2:159" ht="15.75" thickBot="1" x14ac:dyDescent="0.3">
      <c r="B7" s="323"/>
      <c r="C7" s="324"/>
      <c r="D7" s="324"/>
      <c r="E7" s="324"/>
      <c r="F7" s="325"/>
    </row>
    <row r="8" spans="2:159" ht="15.75" thickBot="1" x14ac:dyDescent="0.3">
      <c r="B8" s="277"/>
      <c r="C8" s="278"/>
      <c r="D8" s="278"/>
      <c r="E8" s="278"/>
      <c r="F8" s="279"/>
    </row>
    <row r="9" spans="2:159" ht="21.75" thickBot="1" x14ac:dyDescent="0.4">
      <c r="B9" s="150"/>
      <c r="C9" s="151"/>
      <c r="D9" s="374" t="s">
        <v>3</v>
      </c>
      <c r="E9" s="375"/>
      <c r="F9" s="309"/>
      <c r="G9" s="326"/>
      <c r="H9" s="326"/>
      <c r="I9" s="326"/>
      <c r="J9" s="326"/>
      <c r="L9" s="326"/>
      <c r="M9" s="326"/>
      <c r="N9" s="326"/>
      <c r="O9" s="326"/>
      <c r="P9" s="326"/>
      <c r="Q9" s="326"/>
      <c r="R9" s="326"/>
      <c r="U9" s="326"/>
      <c r="V9" s="326"/>
      <c r="W9" s="326"/>
      <c r="X9" s="326"/>
      <c r="Y9" s="326"/>
      <c r="Z9" s="326"/>
      <c r="AA9" s="326"/>
      <c r="AB9" s="326"/>
      <c r="AC9" s="326"/>
      <c r="AD9" s="326"/>
      <c r="AE9" s="326"/>
      <c r="AM9" s="326"/>
      <c r="AN9" s="326"/>
      <c r="AO9" s="326"/>
      <c r="AP9" s="326"/>
      <c r="AR9" s="326"/>
      <c r="AS9" s="326"/>
      <c r="AT9" s="326"/>
      <c r="AU9" s="326"/>
      <c r="AV9" s="326"/>
      <c r="AW9" s="326"/>
      <c r="AX9" s="326"/>
      <c r="BA9" s="326"/>
      <c r="BB9" s="326"/>
      <c r="BC9" s="326"/>
      <c r="BD9" s="326"/>
      <c r="BE9" s="326"/>
      <c r="BF9" s="326"/>
      <c r="BG9" s="326"/>
      <c r="BH9" s="326"/>
      <c r="BI9" s="326"/>
      <c r="BJ9" s="326"/>
      <c r="BK9" s="326"/>
      <c r="BS9" s="326"/>
      <c r="BT9" s="326"/>
      <c r="BU9" s="326"/>
      <c r="BV9" s="326"/>
      <c r="BX9" s="326"/>
      <c r="BY9" s="326"/>
      <c r="BZ9" s="326"/>
      <c r="CA9" s="326"/>
      <c r="CB9" s="326"/>
      <c r="CC9" s="326"/>
      <c r="CD9" s="326"/>
      <c r="CG9" s="326"/>
      <c r="CH9" s="326"/>
      <c r="CI9" s="326"/>
      <c r="CJ9" s="326"/>
      <c r="CK9" s="326"/>
      <c r="CL9" s="326"/>
      <c r="CM9" s="326"/>
      <c r="CN9" s="326"/>
      <c r="CO9" s="326"/>
      <c r="CP9" s="326"/>
      <c r="CQ9" s="326"/>
      <c r="CY9" s="326"/>
      <c r="CZ9" s="326"/>
      <c r="DA9" s="326"/>
      <c r="DB9" s="326"/>
      <c r="DD9" s="326"/>
      <c r="DE9" s="326"/>
      <c r="DF9" s="326"/>
      <c r="DG9" s="326"/>
      <c r="DH9" s="326"/>
      <c r="DI9" s="326"/>
      <c r="DJ9" s="326"/>
      <c r="DM9" s="326"/>
      <c r="DN9" s="326"/>
      <c r="DO9" s="326"/>
      <c r="DP9" s="326"/>
      <c r="DQ9" s="326"/>
      <c r="DR9" s="326"/>
      <c r="DS9" s="326"/>
      <c r="DT9" s="326"/>
      <c r="DU9" s="326"/>
      <c r="DV9" s="326"/>
      <c r="DW9" s="326"/>
      <c r="EE9" s="326"/>
      <c r="EF9" s="326"/>
      <c r="EG9" s="326"/>
      <c r="EH9" s="326"/>
      <c r="EJ9" s="326"/>
      <c r="EK9" s="326"/>
      <c r="EL9" s="326"/>
      <c r="EM9" s="326"/>
      <c r="EN9" s="326"/>
      <c r="EO9" s="326"/>
      <c r="EP9" s="326"/>
      <c r="ES9" s="326"/>
      <c r="ET9" s="326"/>
      <c r="EU9" s="326"/>
      <c r="EV9" s="326"/>
      <c r="EW9" s="326"/>
      <c r="EX9" s="326"/>
      <c r="EY9" s="326"/>
      <c r="EZ9" s="326"/>
      <c r="FA9" s="326"/>
      <c r="FB9" s="326"/>
      <c r="FC9" s="326"/>
    </row>
    <row r="10" spans="2:159" ht="15.75" thickBot="1" x14ac:dyDescent="0.3">
      <c r="B10" s="150"/>
      <c r="C10" s="151"/>
      <c r="D10" s="151"/>
      <c r="E10" s="151"/>
      <c r="F10" s="152"/>
    </row>
    <row r="11" spans="2:159" ht="15.75" thickBot="1" x14ac:dyDescent="0.3">
      <c r="B11" s="150"/>
      <c r="C11" s="193" t="s">
        <v>4</v>
      </c>
      <c r="D11" s="160" t="s">
        <v>5</v>
      </c>
      <c r="E11" s="230" t="s">
        <v>6</v>
      </c>
      <c r="F11" s="152"/>
      <c r="L11" s="220"/>
      <c r="AR11" s="220"/>
      <c r="BX11" s="220"/>
      <c r="DD11" s="220"/>
      <c r="EJ11" s="220"/>
    </row>
    <row r="12" spans="2:159" ht="15.75" thickBot="1" x14ac:dyDescent="0.3">
      <c r="B12" s="150"/>
      <c r="C12" s="151"/>
      <c r="D12" s="151"/>
      <c r="E12" s="151"/>
      <c r="F12" s="152"/>
      <c r="L12" s="220"/>
      <c r="AR12" s="220"/>
      <c r="BX12" s="220"/>
      <c r="DD12" s="220"/>
      <c r="EJ12" s="220"/>
    </row>
    <row r="13" spans="2:159" ht="15.75" thickBot="1" x14ac:dyDescent="0.3">
      <c r="B13" s="150"/>
      <c r="C13" s="151"/>
      <c r="D13" s="151"/>
      <c r="E13" s="151"/>
      <c r="F13" s="152"/>
      <c r="L13" s="220"/>
      <c r="AH13" s="318"/>
      <c r="AI13" s="319"/>
      <c r="AJ13" s="319"/>
      <c r="AK13" s="319"/>
      <c r="AL13" s="320"/>
      <c r="AR13" s="220"/>
      <c r="BN13" s="318"/>
      <c r="BO13" s="319"/>
      <c r="BP13" s="319"/>
      <c r="BQ13" s="319"/>
      <c r="BR13" s="320"/>
      <c r="BX13" s="220"/>
      <c r="CT13" s="318"/>
      <c r="CU13" s="319"/>
      <c r="CV13" s="319"/>
      <c r="CW13" s="319"/>
      <c r="CX13" s="320"/>
      <c r="DD13" s="220"/>
      <c r="DZ13" s="318"/>
      <c r="EA13" s="319"/>
      <c r="EB13" s="319"/>
      <c r="EC13" s="319"/>
      <c r="ED13" s="320"/>
      <c r="EJ13" s="220"/>
    </row>
    <row r="14" spans="2:159" ht="27" thickBot="1" x14ac:dyDescent="0.45">
      <c r="B14" s="150"/>
      <c r="C14" s="151"/>
      <c r="D14" s="374" t="s">
        <v>7</v>
      </c>
      <c r="E14" s="375"/>
      <c r="F14" s="309"/>
      <c r="G14" s="326"/>
      <c r="L14" s="220"/>
      <c r="AH14" s="321"/>
      <c r="AI14" s="376" t="s">
        <v>8</v>
      </c>
      <c r="AJ14" s="377"/>
      <c r="AK14" s="378"/>
      <c r="AL14" s="322"/>
      <c r="AM14" s="326"/>
      <c r="AR14" s="220"/>
      <c r="BN14" s="321"/>
      <c r="BO14" s="376" t="s">
        <v>9</v>
      </c>
      <c r="BP14" s="377"/>
      <c r="BQ14" s="378"/>
      <c r="BR14" s="322"/>
      <c r="BS14" s="326"/>
      <c r="BX14" s="220"/>
      <c r="CT14" s="321"/>
      <c r="CU14" s="376" t="s">
        <v>10</v>
      </c>
      <c r="CV14" s="377"/>
      <c r="CW14" s="378"/>
      <c r="CX14" s="322"/>
      <c r="CY14" s="326"/>
      <c r="DD14" s="220"/>
      <c r="DZ14" s="321"/>
      <c r="EA14" s="376" t="s">
        <v>11</v>
      </c>
      <c r="EB14" s="377"/>
      <c r="EC14" s="378"/>
      <c r="ED14" s="322"/>
      <c r="EE14" s="326"/>
      <c r="EJ14" s="220"/>
    </row>
    <row r="15" spans="2:159" ht="15.75" thickBot="1" x14ac:dyDescent="0.3">
      <c r="B15" s="150"/>
      <c r="C15" s="151"/>
      <c r="D15" s="151"/>
      <c r="E15" s="151"/>
      <c r="F15" s="152"/>
      <c r="L15" s="220"/>
      <c r="AH15" s="323"/>
      <c r="AI15" s="324"/>
      <c r="AJ15" s="324"/>
      <c r="AK15" s="324"/>
      <c r="AL15" s="325"/>
      <c r="AR15" s="220"/>
      <c r="BN15" s="323"/>
      <c r="BO15" s="324"/>
      <c r="BP15" s="324"/>
      <c r="BQ15" s="324"/>
      <c r="BR15" s="325"/>
      <c r="BX15" s="220"/>
      <c r="CT15" s="323"/>
      <c r="CU15" s="324"/>
      <c r="CV15" s="324"/>
      <c r="CW15" s="324"/>
      <c r="CX15" s="325"/>
      <c r="DD15" s="220"/>
      <c r="DZ15" s="323"/>
      <c r="EA15" s="324"/>
      <c r="EB15" s="324"/>
      <c r="EC15" s="324"/>
      <c r="ED15" s="325"/>
      <c r="EJ15" s="220"/>
    </row>
    <row r="16" spans="2:159" ht="15.75" thickBot="1" x14ac:dyDescent="0.3">
      <c r="B16" s="150"/>
      <c r="C16" s="193" t="s">
        <v>4</v>
      </c>
      <c r="D16" s="160" t="s">
        <v>12</v>
      </c>
      <c r="E16" s="327">
        <v>10</v>
      </c>
      <c r="F16" s="152"/>
      <c r="L16" s="220"/>
      <c r="AH16" s="277"/>
      <c r="AI16" s="278"/>
      <c r="AJ16" s="278"/>
      <c r="AK16" s="278"/>
      <c r="AL16" s="279"/>
      <c r="AR16" s="220"/>
      <c r="BN16" s="277"/>
      <c r="BO16" s="278"/>
      <c r="BP16" s="278"/>
      <c r="BQ16" s="278"/>
      <c r="BR16" s="279"/>
      <c r="BX16" s="220"/>
      <c r="CT16" s="277"/>
      <c r="CU16" s="278"/>
      <c r="CV16" s="278"/>
      <c r="CW16" s="278"/>
      <c r="CX16" s="279"/>
      <c r="DD16" s="220"/>
      <c r="DZ16" s="277"/>
      <c r="EA16" s="278"/>
      <c r="EB16" s="278"/>
      <c r="EC16" s="278"/>
      <c r="ED16" s="279"/>
      <c r="EJ16" s="220"/>
    </row>
    <row r="17" spans="2:160" x14ac:dyDescent="0.25">
      <c r="B17" s="150"/>
      <c r="C17" s="308"/>
      <c r="D17" s="151"/>
      <c r="E17" s="151"/>
      <c r="F17" s="152"/>
      <c r="L17" s="220"/>
      <c r="AH17" s="150"/>
      <c r="AI17" s="151"/>
      <c r="AJ17" s="151"/>
      <c r="AK17" s="151"/>
      <c r="AL17" s="152"/>
      <c r="AR17" s="220"/>
      <c r="BN17" s="150"/>
      <c r="BO17" s="151"/>
      <c r="BP17" s="151"/>
      <c r="BQ17" s="151"/>
      <c r="BR17" s="152"/>
      <c r="BX17" s="220"/>
      <c r="CT17" s="150"/>
      <c r="CU17" s="151"/>
      <c r="CV17" s="151"/>
      <c r="CW17" s="151"/>
      <c r="CX17" s="152"/>
      <c r="DD17" s="220"/>
      <c r="DZ17" s="150"/>
      <c r="EA17" s="151"/>
      <c r="EB17" s="151"/>
      <c r="EC17" s="151"/>
      <c r="ED17" s="152"/>
      <c r="EJ17" s="220"/>
    </row>
    <row r="18" spans="2:160" ht="15.75" thickBot="1" x14ac:dyDescent="0.3">
      <c r="B18" s="150"/>
      <c r="C18" s="308"/>
      <c r="D18" s="151"/>
      <c r="E18" s="151"/>
      <c r="F18" s="152"/>
      <c r="L18" s="220"/>
      <c r="AH18" s="150"/>
      <c r="AI18" s="151"/>
      <c r="AJ18" s="151"/>
      <c r="AK18" s="151"/>
      <c r="AL18" s="152"/>
      <c r="AR18" s="220"/>
      <c r="BN18" s="150"/>
      <c r="BO18" s="151"/>
      <c r="BP18" s="151"/>
      <c r="BQ18" s="151"/>
      <c r="BR18" s="152"/>
      <c r="BX18" s="220"/>
      <c r="CT18" s="150"/>
      <c r="CU18" s="151"/>
      <c r="CV18" s="151"/>
      <c r="CW18" s="151"/>
      <c r="CX18" s="152"/>
      <c r="DD18" s="220"/>
      <c r="DZ18" s="150"/>
      <c r="EA18" s="151"/>
      <c r="EB18" s="151"/>
      <c r="EC18" s="151"/>
      <c r="ED18" s="152"/>
      <c r="EJ18" s="220"/>
    </row>
    <row r="19" spans="2:160" ht="21.75" thickBot="1" x14ac:dyDescent="0.4">
      <c r="B19" s="150"/>
      <c r="C19" s="308"/>
      <c r="D19" s="374" t="s">
        <v>13</v>
      </c>
      <c r="E19" s="375"/>
      <c r="F19" s="152"/>
      <c r="L19" s="220"/>
      <c r="AH19" s="150"/>
      <c r="AI19" s="151"/>
      <c r="AJ19" s="374" t="s">
        <v>14</v>
      </c>
      <c r="AK19" s="375"/>
      <c r="AL19" s="309"/>
      <c r="AR19" s="220"/>
      <c r="BN19" s="150"/>
      <c r="BO19" s="151"/>
      <c r="BP19" s="374" t="s">
        <v>15</v>
      </c>
      <c r="BQ19" s="375"/>
      <c r="BR19" s="309"/>
      <c r="BX19" s="220"/>
      <c r="CT19" s="150"/>
      <c r="CU19" s="151"/>
      <c r="CV19" s="374" t="s">
        <v>16</v>
      </c>
      <c r="CW19" s="375"/>
      <c r="CX19" s="309"/>
      <c r="DD19" s="220"/>
      <c r="DZ19" s="150"/>
      <c r="EA19" s="151"/>
      <c r="EB19" s="374" t="s">
        <v>17</v>
      </c>
      <c r="EC19" s="375"/>
      <c r="ED19" s="309"/>
      <c r="EJ19" s="220"/>
    </row>
    <row r="20" spans="2:160" ht="15.75" thickBot="1" x14ac:dyDescent="0.3">
      <c r="B20" s="150"/>
      <c r="C20" s="308"/>
      <c r="D20" s="151"/>
      <c r="E20" s="151"/>
      <c r="F20" s="152"/>
      <c r="L20" s="220"/>
      <c r="AH20" s="150"/>
      <c r="AI20" s="151"/>
      <c r="AJ20" s="151"/>
      <c r="AK20" s="151"/>
      <c r="AL20" s="152"/>
      <c r="AR20" s="220"/>
      <c r="BN20" s="150"/>
      <c r="BO20" s="151"/>
      <c r="BP20" s="151"/>
      <c r="BQ20" s="151"/>
      <c r="BR20" s="152"/>
      <c r="BX20" s="220"/>
      <c r="CT20" s="150"/>
      <c r="CU20" s="151"/>
      <c r="CV20" s="151"/>
      <c r="CW20" s="151"/>
      <c r="CX20" s="152"/>
      <c r="DD20" s="220"/>
      <c r="DZ20" s="150"/>
      <c r="EA20" s="151"/>
      <c r="EB20" s="151"/>
      <c r="EC20" s="151"/>
      <c r="ED20" s="152"/>
      <c r="EJ20" s="220"/>
    </row>
    <row r="21" spans="2:160" ht="15.75" thickBot="1" x14ac:dyDescent="0.3">
      <c r="B21" s="150"/>
      <c r="C21" s="191" t="s">
        <v>4</v>
      </c>
      <c r="D21" s="160" t="s">
        <v>18</v>
      </c>
      <c r="E21" s="328"/>
      <c r="F21" s="152"/>
      <c r="L21" s="220"/>
      <c r="AH21" s="150"/>
      <c r="AI21" s="193" t="s">
        <v>4</v>
      </c>
      <c r="AJ21" s="160" t="s">
        <v>12</v>
      </c>
      <c r="AK21" s="327">
        <v>10</v>
      </c>
      <c r="AL21" s="152"/>
      <c r="AR21" s="220"/>
      <c r="BN21" s="150"/>
      <c r="BO21" s="193" t="s">
        <v>4</v>
      </c>
      <c r="BP21" s="160" t="s">
        <v>12</v>
      </c>
      <c r="BQ21" s="327"/>
      <c r="BR21" s="152"/>
      <c r="BX21" s="220"/>
      <c r="CT21" s="150"/>
      <c r="CU21" s="193" t="s">
        <v>4</v>
      </c>
      <c r="CV21" s="160" t="s">
        <v>12</v>
      </c>
      <c r="CW21" s="327"/>
      <c r="CX21" s="152"/>
      <c r="DD21" s="220"/>
      <c r="DZ21" s="150"/>
      <c r="EA21" s="193" t="s">
        <v>4</v>
      </c>
      <c r="EB21" s="160" t="s">
        <v>12</v>
      </c>
      <c r="EC21" s="327"/>
      <c r="ED21" s="152"/>
      <c r="EJ21" s="220"/>
    </row>
    <row r="22" spans="2:160" ht="15.75" thickBot="1" x14ac:dyDescent="0.3">
      <c r="B22" s="150"/>
      <c r="C22" s="151"/>
      <c r="D22" s="160" t="s">
        <v>19</v>
      </c>
      <c r="E22" s="329">
        <v>50</v>
      </c>
      <c r="F22" s="152"/>
      <c r="L22" s="220"/>
      <c r="AH22" s="150"/>
      <c r="AI22" s="151"/>
      <c r="AJ22" s="151"/>
      <c r="AK22" s="151"/>
      <c r="AL22" s="152"/>
      <c r="AR22" s="220"/>
      <c r="BN22" s="150"/>
      <c r="BO22" s="151"/>
      <c r="BP22" s="151"/>
      <c r="BQ22" s="151"/>
      <c r="BR22" s="152"/>
      <c r="BX22" s="220"/>
      <c r="CT22" s="150"/>
      <c r="CU22" s="151"/>
      <c r="CV22" s="151"/>
      <c r="CW22" s="151"/>
      <c r="CX22" s="152"/>
      <c r="DD22" s="220"/>
      <c r="DZ22" s="150"/>
      <c r="EA22" s="151"/>
      <c r="EB22" s="151"/>
      <c r="EC22" s="151"/>
      <c r="ED22" s="152"/>
      <c r="EJ22" s="220"/>
    </row>
    <row r="23" spans="2:160" ht="15.75" thickBot="1" x14ac:dyDescent="0.3">
      <c r="B23" s="150"/>
      <c r="C23" s="151"/>
      <c r="D23" s="151"/>
      <c r="E23" s="151"/>
      <c r="F23" s="152"/>
      <c r="G23" s="290"/>
      <c r="H23" s="290"/>
      <c r="I23" s="290"/>
      <c r="J23" s="290"/>
      <c r="K23" s="290"/>
      <c r="L23" s="291"/>
      <c r="M23" s="290"/>
      <c r="N23" s="290"/>
      <c r="O23" s="290"/>
      <c r="P23" s="290"/>
      <c r="Q23" s="290"/>
      <c r="R23" s="290"/>
      <c r="S23" s="290"/>
      <c r="T23" s="292"/>
      <c r="U23" s="293"/>
      <c r="V23" s="293"/>
      <c r="W23" s="293"/>
      <c r="X23" s="293"/>
      <c r="Y23" s="293"/>
      <c r="Z23" s="293"/>
      <c r="AA23" s="293"/>
      <c r="AB23" s="293"/>
      <c r="AC23" s="293"/>
      <c r="AD23" s="293"/>
      <c r="AE23" s="293"/>
      <c r="AF23" s="294"/>
      <c r="AH23" s="150"/>
      <c r="AI23" s="151"/>
      <c r="AJ23" s="151"/>
      <c r="AK23" s="151"/>
      <c r="AL23" s="152"/>
      <c r="AM23" s="290"/>
      <c r="AN23" s="290"/>
      <c r="AO23" s="290"/>
      <c r="AP23" s="290"/>
      <c r="AQ23" s="290"/>
      <c r="AR23" s="291"/>
      <c r="AS23" s="290"/>
      <c r="AT23" s="290"/>
      <c r="AU23" s="290"/>
      <c r="AV23" s="290"/>
      <c r="AW23" s="290"/>
      <c r="AX23" s="290"/>
      <c r="AY23" s="290"/>
      <c r="AZ23" s="292"/>
      <c r="BA23" s="293"/>
      <c r="BB23" s="293"/>
      <c r="BC23" s="293"/>
      <c r="BD23" s="293"/>
      <c r="BE23" s="293"/>
      <c r="BF23" s="293"/>
      <c r="BG23" s="293"/>
      <c r="BH23" s="293"/>
      <c r="BI23" s="293"/>
      <c r="BJ23" s="293"/>
      <c r="BK23" s="293"/>
      <c r="BL23" s="294"/>
      <c r="BN23" s="150"/>
      <c r="BO23" s="151"/>
      <c r="BP23" s="151"/>
      <c r="BQ23" s="151"/>
      <c r="BR23" s="152"/>
      <c r="BS23" s="290"/>
      <c r="BT23" s="290"/>
      <c r="BU23" s="290"/>
      <c r="BV23" s="290"/>
      <c r="BW23" s="290"/>
      <c r="BX23" s="291"/>
      <c r="BY23" s="290"/>
      <c r="BZ23" s="290"/>
      <c r="CA23" s="290"/>
      <c r="CB23" s="290"/>
      <c r="CC23" s="290"/>
      <c r="CD23" s="290"/>
      <c r="CE23" s="290"/>
      <c r="CF23" s="292"/>
      <c r="CG23" s="293"/>
      <c r="CH23" s="293"/>
      <c r="CI23" s="293"/>
      <c r="CJ23" s="293"/>
      <c r="CK23" s="293"/>
      <c r="CL23" s="293"/>
      <c r="CM23" s="293"/>
      <c r="CN23" s="293"/>
      <c r="CO23" s="293"/>
      <c r="CP23" s="293"/>
      <c r="CQ23" s="293"/>
      <c r="CR23" s="294"/>
      <c r="CT23" s="150"/>
      <c r="CU23" s="151"/>
      <c r="CV23" s="151"/>
      <c r="CW23" s="151"/>
      <c r="CX23" s="152"/>
      <c r="CY23" s="290"/>
      <c r="CZ23" s="290"/>
      <c r="DA23" s="290"/>
      <c r="DB23" s="290"/>
      <c r="DC23" s="290"/>
      <c r="DD23" s="291"/>
      <c r="DE23" s="290"/>
      <c r="DF23" s="290"/>
      <c r="DG23" s="290"/>
      <c r="DH23" s="290"/>
      <c r="DI23" s="290"/>
      <c r="DJ23" s="290"/>
      <c r="DK23" s="290"/>
      <c r="DL23" s="292"/>
      <c r="DM23" s="293"/>
      <c r="DN23" s="293"/>
      <c r="DO23" s="293"/>
      <c r="DP23" s="293"/>
      <c r="DQ23" s="293"/>
      <c r="DR23" s="293"/>
      <c r="DS23" s="293"/>
      <c r="DT23" s="293"/>
      <c r="DU23" s="293"/>
      <c r="DV23" s="293"/>
      <c r="DW23" s="293"/>
      <c r="DX23" s="294"/>
      <c r="DZ23" s="150"/>
      <c r="EA23" s="151"/>
      <c r="EB23" s="151"/>
      <c r="EC23" s="151"/>
      <c r="ED23" s="152"/>
      <c r="EE23" s="290"/>
      <c r="EF23" s="290"/>
      <c r="EG23" s="290"/>
      <c r="EH23" s="290"/>
      <c r="EI23" s="290"/>
      <c r="EJ23" s="291"/>
      <c r="EK23" s="290"/>
      <c r="EL23" s="290"/>
      <c r="EM23" s="290"/>
      <c r="EN23" s="290"/>
      <c r="EO23" s="290"/>
      <c r="EP23" s="290"/>
      <c r="EQ23" s="290"/>
      <c r="ER23" s="292"/>
      <c r="ES23" s="293"/>
      <c r="ET23" s="293"/>
      <c r="EU23" s="293"/>
      <c r="EV23" s="293"/>
      <c r="EW23" s="293"/>
      <c r="EX23" s="293"/>
      <c r="EY23" s="293"/>
      <c r="EZ23" s="293"/>
      <c r="FA23" s="293"/>
      <c r="FB23" s="293"/>
      <c r="FC23" s="293"/>
      <c r="FD23" s="294"/>
    </row>
    <row r="24" spans="2:160" ht="27" thickBot="1" x14ac:dyDescent="0.45">
      <c r="B24" s="150"/>
      <c r="C24" s="151"/>
      <c r="D24" s="151"/>
      <c r="E24" s="151"/>
      <c r="F24" s="152"/>
      <c r="G24" s="295"/>
      <c r="H24" s="376" t="s">
        <v>20</v>
      </c>
      <c r="I24" s="377"/>
      <c r="J24" s="378"/>
      <c r="K24" s="295"/>
      <c r="L24" s="296"/>
      <c r="M24" s="295"/>
      <c r="N24" s="295"/>
      <c r="O24" s="295"/>
      <c r="P24" s="295"/>
      <c r="Q24" s="295"/>
      <c r="R24" s="295"/>
      <c r="S24" s="295"/>
      <c r="T24" s="297"/>
      <c r="U24" s="376" t="str">
        <f>IF($E$16="","Assessment Unit 1 Results (AU area)",CONCATENATE("Assessment Unit 1 Results (",$E$16," ha)"))</f>
        <v>Assessment Unit 1 Results (10 ha)</v>
      </c>
      <c r="V24" s="377"/>
      <c r="W24" s="378"/>
      <c r="X24" s="298"/>
      <c r="Y24" s="298"/>
      <c r="Z24" s="298"/>
      <c r="AA24" s="298"/>
      <c r="AB24" s="298"/>
      <c r="AC24" s="298"/>
      <c r="AD24" s="298"/>
      <c r="AE24" s="298"/>
      <c r="AF24" s="299"/>
      <c r="AH24" s="150"/>
      <c r="AI24" s="151"/>
      <c r="AJ24" s="151"/>
      <c r="AK24" s="151"/>
      <c r="AL24" s="152"/>
      <c r="AM24" s="295"/>
      <c r="AN24" s="376" t="s">
        <v>21</v>
      </c>
      <c r="AO24" s="377"/>
      <c r="AP24" s="378"/>
      <c r="AQ24" s="295"/>
      <c r="AR24" s="296"/>
      <c r="AS24" s="295"/>
      <c r="AT24" s="295"/>
      <c r="AU24" s="295"/>
      <c r="AV24" s="295"/>
      <c r="AW24" s="295"/>
      <c r="AX24" s="295"/>
      <c r="AY24" s="295"/>
      <c r="AZ24" s="297"/>
      <c r="BA24" s="376" t="str">
        <f>IF(AK21="","Assessment Unit 2 Results (AU area)",CONCATENATE("Assessment Unit 2 Results (",AK21," ha)"))</f>
        <v>Assessment Unit 2 Results (10 ha)</v>
      </c>
      <c r="BB24" s="377"/>
      <c r="BC24" s="378"/>
      <c r="BD24" s="298"/>
      <c r="BE24" s="298"/>
      <c r="BF24" s="298"/>
      <c r="BG24" s="298"/>
      <c r="BH24" s="298"/>
      <c r="BI24" s="298"/>
      <c r="BJ24" s="298"/>
      <c r="BK24" s="298"/>
      <c r="BL24" s="299"/>
      <c r="BN24" s="150"/>
      <c r="BO24" s="151"/>
      <c r="BP24" s="151"/>
      <c r="BQ24" s="151"/>
      <c r="BR24" s="152"/>
      <c r="BS24" s="295"/>
      <c r="BT24" s="376" t="s">
        <v>22</v>
      </c>
      <c r="BU24" s="377"/>
      <c r="BV24" s="378"/>
      <c r="BW24" s="295"/>
      <c r="BX24" s="296"/>
      <c r="BY24" s="295"/>
      <c r="BZ24" s="295"/>
      <c r="CA24" s="295"/>
      <c r="CB24" s="295"/>
      <c r="CC24" s="295"/>
      <c r="CD24" s="295"/>
      <c r="CE24" s="295"/>
      <c r="CF24" s="297"/>
      <c r="CG24" s="376" t="str">
        <f>IF(BQ21="","Assessment Unit 3 Results (AU area)",CONCATENATE("Assessment Unit 3 Results (",BQ21," ha)"))</f>
        <v>Assessment Unit 3 Results (AU area)</v>
      </c>
      <c r="CH24" s="377"/>
      <c r="CI24" s="378"/>
      <c r="CJ24" s="298"/>
      <c r="CK24" s="298"/>
      <c r="CL24" s="298"/>
      <c r="CM24" s="298"/>
      <c r="CN24" s="298"/>
      <c r="CO24" s="298"/>
      <c r="CP24" s="298"/>
      <c r="CQ24" s="298"/>
      <c r="CR24" s="299"/>
      <c r="CT24" s="150"/>
      <c r="CU24" s="151"/>
      <c r="CV24" s="151"/>
      <c r="CW24" s="151"/>
      <c r="CX24" s="152"/>
      <c r="CY24" s="295"/>
      <c r="CZ24" s="376" t="s">
        <v>23</v>
      </c>
      <c r="DA24" s="377"/>
      <c r="DB24" s="378"/>
      <c r="DC24" s="295"/>
      <c r="DD24" s="296"/>
      <c r="DE24" s="295"/>
      <c r="DF24" s="295"/>
      <c r="DG24" s="295"/>
      <c r="DH24" s="295"/>
      <c r="DI24" s="295"/>
      <c r="DJ24" s="295"/>
      <c r="DK24" s="295"/>
      <c r="DL24" s="297"/>
      <c r="DM24" s="376" t="str">
        <f>IF(CW21="","Assessment Unit 4 Results (AU area)",CONCATENATE("Assessment Unit 4 Results (",CW21," ha)"))</f>
        <v>Assessment Unit 4 Results (AU area)</v>
      </c>
      <c r="DN24" s="377"/>
      <c r="DO24" s="378"/>
      <c r="DP24" s="298"/>
      <c r="DQ24" s="298"/>
      <c r="DR24" s="298"/>
      <c r="DS24" s="298"/>
      <c r="DT24" s="298"/>
      <c r="DU24" s="298"/>
      <c r="DV24" s="298"/>
      <c r="DW24" s="298"/>
      <c r="DX24" s="299"/>
      <c r="DZ24" s="150"/>
      <c r="EA24" s="151"/>
      <c r="EB24" s="151"/>
      <c r="EC24" s="151"/>
      <c r="ED24" s="152"/>
      <c r="EE24" s="295"/>
      <c r="EF24" s="376" t="s">
        <v>24</v>
      </c>
      <c r="EG24" s="377"/>
      <c r="EH24" s="378"/>
      <c r="EI24" s="295"/>
      <c r="EJ24" s="296"/>
      <c r="EK24" s="295"/>
      <c r="EL24" s="295"/>
      <c r="EM24" s="295"/>
      <c r="EN24" s="295"/>
      <c r="EO24" s="295"/>
      <c r="EP24" s="295"/>
      <c r="EQ24" s="295"/>
      <c r="ER24" s="297"/>
      <c r="ES24" s="376" t="str">
        <f>IF(EC21="","Assessment Unit 5 Results (AU area)",CONCATENATE("Assessment Unit 5 Results (",EC21," ha)"))</f>
        <v>Assessment Unit 5 Results (AU area)</v>
      </c>
      <c r="ET24" s="377"/>
      <c r="EU24" s="378"/>
      <c r="EV24" s="298"/>
      <c r="EW24" s="298"/>
      <c r="EX24" s="298"/>
      <c r="EY24" s="298"/>
      <c r="EZ24" s="298"/>
      <c r="FA24" s="298"/>
      <c r="FB24" s="298"/>
      <c r="FC24" s="298"/>
      <c r="FD24" s="299"/>
    </row>
    <row r="25" spans="2:160" ht="15.75" thickBot="1" x14ac:dyDescent="0.3">
      <c r="B25" s="164"/>
      <c r="C25" s="165"/>
      <c r="D25" s="165"/>
      <c r="E25" s="165"/>
      <c r="F25" s="166"/>
      <c r="G25" s="300"/>
      <c r="H25" s="300"/>
      <c r="I25" s="300"/>
      <c r="J25" s="300"/>
      <c r="K25" s="300"/>
      <c r="L25" s="301"/>
      <c r="M25" s="300"/>
      <c r="N25" s="300"/>
      <c r="O25" s="300"/>
      <c r="P25" s="300"/>
      <c r="Q25" s="300"/>
      <c r="R25" s="300"/>
      <c r="S25" s="300"/>
      <c r="T25" s="302"/>
      <c r="U25" s="303"/>
      <c r="V25" s="303"/>
      <c r="W25" s="303"/>
      <c r="X25" s="303"/>
      <c r="Y25" s="303"/>
      <c r="Z25" s="303"/>
      <c r="AA25" s="303"/>
      <c r="AB25" s="303"/>
      <c r="AC25" s="303"/>
      <c r="AD25" s="303"/>
      <c r="AE25" s="303"/>
      <c r="AF25" s="304"/>
      <c r="AH25" s="164"/>
      <c r="AI25" s="165"/>
      <c r="AJ25" s="165"/>
      <c r="AK25" s="165"/>
      <c r="AL25" s="166"/>
      <c r="AM25" s="300"/>
      <c r="AN25" s="300"/>
      <c r="AO25" s="300"/>
      <c r="AP25" s="300"/>
      <c r="AQ25" s="300"/>
      <c r="AR25" s="301"/>
      <c r="AS25" s="300"/>
      <c r="AT25" s="300"/>
      <c r="AU25" s="300"/>
      <c r="AV25" s="300"/>
      <c r="AW25" s="300"/>
      <c r="AX25" s="300"/>
      <c r="AY25" s="300"/>
      <c r="AZ25" s="302"/>
      <c r="BA25" s="303"/>
      <c r="BB25" s="303"/>
      <c r="BC25" s="303"/>
      <c r="BD25" s="303"/>
      <c r="BE25" s="303"/>
      <c r="BF25" s="303"/>
      <c r="BG25" s="303"/>
      <c r="BH25" s="303"/>
      <c r="BI25" s="303"/>
      <c r="BJ25" s="303"/>
      <c r="BK25" s="303"/>
      <c r="BL25" s="304"/>
      <c r="BN25" s="164"/>
      <c r="BO25" s="165"/>
      <c r="BP25" s="165"/>
      <c r="BQ25" s="165"/>
      <c r="BR25" s="166"/>
      <c r="BS25" s="300"/>
      <c r="BT25" s="300"/>
      <c r="BU25" s="300"/>
      <c r="BV25" s="300"/>
      <c r="BW25" s="300"/>
      <c r="BX25" s="301"/>
      <c r="BY25" s="300"/>
      <c r="BZ25" s="300"/>
      <c r="CA25" s="300"/>
      <c r="CB25" s="300"/>
      <c r="CC25" s="300"/>
      <c r="CD25" s="300"/>
      <c r="CE25" s="300"/>
      <c r="CF25" s="302"/>
      <c r="CG25" s="303"/>
      <c r="CH25" s="303"/>
      <c r="CI25" s="303"/>
      <c r="CJ25" s="303"/>
      <c r="CK25" s="303"/>
      <c r="CL25" s="303"/>
      <c r="CM25" s="303"/>
      <c r="CN25" s="303"/>
      <c r="CO25" s="303"/>
      <c r="CP25" s="303"/>
      <c r="CQ25" s="303"/>
      <c r="CR25" s="304"/>
      <c r="CT25" s="164"/>
      <c r="CU25" s="165"/>
      <c r="CV25" s="165"/>
      <c r="CW25" s="165"/>
      <c r="CX25" s="166"/>
      <c r="CY25" s="300"/>
      <c r="CZ25" s="300"/>
      <c r="DA25" s="300"/>
      <c r="DB25" s="300"/>
      <c r="DC25" s="300"/>
      <c r="DD25" s="301"/>
      <c r="DE25" s="300"/>
      <c r="DF25" s="300"/>
      <c r="DG25" s="300"/>
      <c r="DH25" s="300"/>
      <c r="DI25" s="300"/>
      <c r="DJ25" s="300"/>
      <c r="DK25" s="300"/>
      <c r="DL25" s="302"/>
      <c r="DM25" s="303"/>
      <c r="DN25" s="303"/>
      <c r="DO25" s="303"/>
      <c r="DP25" s="303"/>
      <c r="DQ25" s="303"/>
      <c r="DR25" s="303"/>
      <c r="DS25" s="303"/>
      <c r="DT25" s="303"/>
      <c r="DU25" s="303"/>
      <c r="DV25" s="303"/>
      <c r="DW25" s="303"/>
      <c r="DX25" s="304"/>
      <c r="DZ25" s="164"/>
      <c r="EA25" s="165"/>
      <c r="EB25" s="165"/>
      <c r="EC25" s="165"/>
      <c r="ED25" s="166"/>
      <c r="EE25" s="300"/>
      <c r="EF25" s="300"/>
      <c r="EG25" s="300"/>
      <c r="EH25" s="300"/>
      <c r="EI25" s="300"/>
      <c r="EJ25" s="301"/>
      <c r="EK25" s="300"/>
      <c r="EL25" s="300"/>
      <c r="EM25" s="300"/>
      <c r="EN25" s="300"/>
      <c r="EO25" s="300"/>
      <c r="EP25" s="300"/>
      <c r="EQ25" s="300"/>
      <c r="ER25" s="302"/>
      <c r="ES25" s="303"/>
      <c r="ET25" s="303"/>
      <c r="EU25" s="303"/>
      <c r="EV25" s="303"/>
      <c r="EW25" s="303"/>
      <c r="EX25" s="303"/>
      <c r="EY25" s="303"/>
      <c r="EZ25" s="303"/>
      <c r="FA25" s="303"/>
      <c r="FB25" s="303"/>
      <c r="FC25" s="303"/>
      <c r="FD25" s="304"/>
    </row>
    <row r="26" spans="2:160" ht="15.75" thickBot="1" x14ac:dyDescent="0.3">
      <c r="B26" s="277"/>
      <c r="C26" s="278"/>
      <c r="D26" s="278"/>
      <c r="E26" s="278"/>
      <c r="F26" s="279"/>
      <c r="G26" s="270"/>
      <c r="H26" s="270"/>
      <c r="I26" s="270"/>
      <c r="J26" s="270"/>
      <c r="K26" s="270"/>
      <c r="L26" s="270"/>
      <c r="M26" s="270"/>
      <c r="N26" s="270"/>
      <c r="O26" s="270"/>
      <c r="P26" s="270"/>
      <c r="Q26" s="270"/>
      <c r="R26" s="270"/>
      <c r="S26" s="270"/>
      <c r="T26" s="271"/>
      <c r="U26" s="272"/>
      <c r="V26" s="272"/>
      <c r="W26" s="272"/>
      <c r="X26" s="272"/>
      <c r="Y26" s="272"/>
      <c r="Z26" s="272"/>
      <c r="AA26" s="272"/>
      <c r="AB26" s="272"/>
      <c r="AC26" s="272"/>
      <c r="AD26" s="272"/>
      <c r="AE26" s="272"/>
      <c r="AF26" s="273"/>
      <c r="AH26" s="277"/>
      <c r="AI26" s="278"/>
      <c r="AJ26" s="278"/>
      <c r="AK26" s="278"/>
      <c r="AL26" s="279"/>
      <c r="AM26" s="270"/>
      <c r="AN26" s="270"/>
      <c r="AO26" s="270"/>
      <c r="AP26" s="270"/>
      <c r="AQ26" s="270"/>
      <c r="AR26" s="270"/>
      <c r="AS26" s="270"/>
      <c r="AT26" s="270"/>
      <c r="AU26" s="270"/>
      <c r="AV26" s="270"/>
      <c r="AW26" s="270"/>
      <c r="AX26" s="270"/>
      <c r="AY26" s="270"/>
      <c r="AZ26" s="271"/>
      <c r="BA26" s="272"/>
      <c r="BB26" s="272"/>
      <c r="BC26" s="272"/>
      <c r="BD26" s="272"/>
      <c r="BE26" s="272"/>
      <c r="BF26" s="272"/>
      <c r="BG26" s="272"/>
      <c r="BH26" s="272"/>
      <c r="BI26" s="272"/>
      <c r="BJ26" s="272"/>
      <c r="BK26" s="272"/>
      <c r="BL26" s="273"/>
      <c r="BN26" s="277"/>
      <c r="BO26" s="278"/>
      <c r="BP26" s="278"/>
      <c r="BQ26" s="278"/>
      <c r="BR26" s="279"/>
      <c r="BS26" s="270"/>
      <c r="BT26" s="270"/>
      <c r="BU26" s="270"/>
      <c r="BV26" s="270"/>
      <c r="BW26" s="270"/>
      <c r="BX26" s="270"/>
      <c r="BY26" s="270"/>
      <c r="BZ26" s="270"/>
      <c r="CA26" s="270"/>
      <c r="CB26" s="270"/>
      <c r="CC26" s="270"/>
      <c r="CD26" s="270"/>
      <c r="CE26" s="270"/>
      <c r="CF26" s="271"/>
      <c r="CG26" s="272"/>
      <c r="CH26" s="272"/>
      <c r="CI26" s="272"/>
      <c r="CJ26" s="272"/>
      <c r="CK26" s="272"/>
      <c r="CL26" s="272"/>
      <c r="CM26" s="272"/>
      <c r="CN26" s="272"/>
      <c r="CO26" s="272"/>
      <c r="CP26" s="272"/>
      <c r="CQ26" s="272"/>
      <c r="CR26" s="273"/>
      <c r="CT26" s="277"/>
      <c r="CU26" s="278"/>
      <c r="CV26" s="278"/>
      <c r="CW26" s="278"/>
      <c r="CX26" s="279"/>
      <c r="CY26" s="270"/>
      <c r="CZ26" s="270"/>
      <c r="DA26" s="270"/>
      <c r="DB26" s="270"/>
      <c r="DC26" s="270"/>
      <c r="DD26" s="270"/>
      <c r="DE26" s="270"/>
      <c r="DF26" s="270"/>
      <c r="DG26" s="270"/>
      <c r="DH26" s="270"/>
      <c r="DI26" s="270"/>
      <c r="DJ26" s="270"/>
      <c r="DK26" s="270"/>
      <c r="DL26" s="271"/>
      <c r="DM26" s="272"/>
      <c r="DN26" s="272"/>
      <c r="DO26" s="272"/>
      <c r="DP26" s="272"/>
      <c r="DQ26" s="272"/>
      <c r="DR26" s="272"/>
      <c r="DS26" s="272"/>
      <c r="DT26" s="272"/>
      <c r="DU26" s="272"/>
      <c r="DV26" s="272"/>
      <c r="DW26" s="272"/>
      <c r="DX26" s="273"/>
      <c r="DZ26" s="277"/>
      <c r="EA26" s="278"/>
      <c r="EB26" s="278"/>
      <c r="EC26" s="278"/>
      <c r="ED26" s="279"/>
      <c r="EE26" s="270"/>
      <c r="EF26" s="270"/>
      <c r="EG26" s="270"/>
      <c r="EH26" s="270"/>
      <c r="EI26" s="270"/>
      <c r="EJ26" s="270"/>
      <c r="EK26" s="270"/>
      <c r="EL26" s="270"/>
      <c r="EM26" s="270"/>
      <c r="EN26" s="270"/>
      <c r="EO26" s="270"/>
      <c r="EP26" s="270"/>
      <c r="EQ26" s="270"/>
      <c r="ER26" s="271"/>
      <c r="ES26" s="272"/>
      <c r="ET26" s="272"/>
      <c r="EU26" s="272"/>
      <c r="EV26" s="272"/>
      <c r="EW26" s="272"/>
      <c r="EX26" s="272"/>
      <c r="EY26" s="272"/>
      <c r="EZ26" s="272"/>
      <c r="FA26" s="272"/>
      <c r="FB26" s="272"/>
      <c r="FC26" s="272"/>
      <c r="FD26" s="273"/>
    </row>
    <row r="27" spans="2:160" ht="21.75" thickBot="1" x14ac:dyDescent="0.4">
      <c r="B27" s="150"/>
      <c r="C27" s="151"/>
      <c r="D27" s="374" t="s">
        <v>25</v>
      </c>
      <c r="E27" s="375"/>
      <c r="F27" s="284" t="s">
        <v>26</v>
      </c>
      <c r="G27" s="305" t="s">
        <v>27</v>
      </c>
      <c r="H27" s="305"/>
      <c r="I27" s="374" t="s">
        <v>28</v>
      </c>
      <c r="J27" s="375"/>
      <c r="K27" s="270"/>
      <c r="L27" s="270"/>
      <c r="M27" s="270"/>
      <c r="N27" s="270"/>
      <c r="O27" s="270"/>
      <c r="P27" s="270"/>
      <c r="Q27" s="270"/>
      <c r="R27" s="274" t="s">
        <v>29</v>
      </c>
      <c r="S27" s="270"/>
      <c r="T27" s="306" t="s">
        <v>29</v>
      </c>
      <c r="U27" s="307"/>
      <c r="V27" s="374" t="str">
        <f>IF($E$16="","Original annual emissions (AU area)",CONCATENATE("Original annual emissions (",$E$16," ha)"))</f>
        <v>Original annual emissions (10 ha)</v>
      </c>
      <c r="W27" s="375"/>
      <c r="X27" s="307"/>
      <c r="Y27" s="275"/>
      <c r="Z27" s="272"/>
      <c r="AA27" s="272"/>
      <c r="AB27" s="272"/>
      <c r="AC27" s="272"/>
      <c r="AD27" s="272"/>
      <c r="AE27" s="272"/>
      <c r="AF27" s="273"/>
      <c r="AH27" s="150"/>
      <c r="AI27" s="151"/>
      <c r="AJ27" s="374" t="s">
        <v>25</v>
      </c>
      <c r="AK27" s="375"/>
      <c r="AL27" s="284" t="s">
        <v>26</v>
      </c>
      <c r="AM27" s="305" t="s">
        <v>27</v>
      </c>
      <c r="AN27" s="305"/>
      <c r="AO27" s="374" t="s">
        <v>28</v>
      </c>
      <c r="AP27" s="375"/>
      <c r="AQ27" s="270"/>
      <c r="AR27" s="270"/>
      <c r="AS27" s="270"/>
      <c r="AT27" s="270"/>
      <c r="AU27" s="270"/>
      <c r="AV27" s="270"/>
      <c r="AW27" s="270"/>
      <c r="AX27" s="274" t="s">
        <v>29</v>
      </c>
      <c r="AY27" s="270"/>
      <c r="AZ27" s="306" t="s">
        <v>29</v>
      </c>
      <c r="BA27" s="307"/>
      <c r="BB27" s="374" t="str">
        <f>IF(AK21="","Original annual emissions (AU area)",CONCATENATE("Original annual emissions (",AK21," ha)"))</f>
        <v>Original annual emissions (10 ha)</v>
      </c>
      <c r="BC27" s="375"/>
      <c r="BD27" s="307"/>
      <c r="BE27" s="275"/>
      <c r="BF27" s="272"/>
      <c r="BG27" s="272"/>
      <c r="BH27" s="272"/>
      <c r="BI27" s="272"/>
      <c r="BJ27" s="272"/>
      <c r="BK27" s="272"/>
      <c r="BL27" s="273"/>
      <c r="BN27" s="150"/>
      <c r="BO27" s="151"/>
      <c r="BP27" s="374" t="s">
        <v>25</v>
      </c>
      <c r="BQ27" s="375"/>
      <c r="BR27" s="284" t="s">
        <v>26</v>
      </c>
      <c r="BS27" s="305" t="s">
        <v>27</v>
      </c>
      <c r="BT27" s="305"/>
      <c r="BU27" s="374" t="s">
        <v>28</v>
      </c>
      <c r="BV27" s="375"/>
      <c r="BW27" s="270"/>
      <c r="BX27" s="270"/>
      <c r="BY27" s="270"/>
      <c r="BZ27" s="270"/>
      <c r="CA27" s="270"/>
      <c r="CB27" s="270"/>
      <c r="CC27" s="270"/>
      <c r="CD27" s="274" t="s">
        <v>29</v>
      </c>
      <c r="CE27" s="270"/>
      <c r="CF27" s="306" t="s">
        <v>29</v>
      </c>
      <c r="CG27" s="307"/>
      <c r="CH27" s="374" t="str">
        <f>IF(BQ21="","Original annual emissions (AU area)",CONCATENATE("Original annual emissions (",BQ21," ha)"))</f>
        <v>Original annual emissions (AU area)</v>
      </c>
      <c r="CI27" s="375"/>
      <c r="CJ27" s="307"/>
      <c r="CK27" s="275"/>
      <c r="CL27" s="272"/>
      <c r="CM27" s="272"/>
      <c r="CN27" s="272"/>
      <c r="CO27" s="272"/>
      <c r="CP27" s="272"/>
      <c r="CQ27" s="272"/>
      <c r="CR27" s="273"/>
      <c r="CT27" s="150"/>
      <c r="CU27" s="151"/>
      <c r="CV27" s="374" t="s">
        <v>25</v>
      </c>
      <c r="CW27" s="375"/>
      <c r="CX27" s="284" t="s">
        <v>26</v>
      </c>
      <c r="CY27" s="305" t="s">
        <v>27</v>
      </c>
      <c r="CZ27" s="305"/>
      <c r="DA27" s="374" t="s">
        <v>28</v>
      </c>
      <c r="DB27" s="375"/>
      <c r="DC27" s="270"/>
      <c r="DD27" s="270"/>
      <c r="DE27" s="270"/>
      <c r="DF27" s="270"/>
      <c r="DG27" s="270"/>
      <c r="DH27" s="270"/>
      <c r="DI27" s="270"/>
      <c r="DJ27" s="274" t="s">
        <v>29</v>
      </c>
      <c r="DK27" s="270"/>
      <c r="DL27" s="306" t="s">
        <v>29</v>
      </c>
      <c r="DM27" s="307"/>
      <c r="DN27" s="374" t="str">
        <f>IF(CW21="","Original annual emissions (AU area)",CONCATENATE("Original annual emissions (",CW21," ha)"))</f>
        <v>Original annual emissions (AU area)</v>
      </c>
      <c r="DO27" s="375"/>
      <c r="DP27" s="307"/>
      <c r="DQ27" s="275"/>
      <c r="DR27" s="272"/>
      <c r="DS27" s="272"/>
      <c r="DT27" s="272"/>
      <c r="DU27" s="272"/>
      <c r="DV27" s="272"/>
      <c r="DW27" s="272"/>
      <c r="DX27" s="273"/>
      <c r="DZ27" s="150"/>
      <c r="EA27" s="151"/>
      <c r="EB27" s="374" t="s">
        <v>25</v>
      </c>
      <c r="EC27" s="375"/>
      <c r="ED27" s="284" t="s">
        <v>26</v>
      </c>
      <c r="EE27" s="305" t="s">
        <v>27</v>
      </c>
      <c r="EF27" s="305"/>
      <c r="EG27" s="374" t="s">
        <v>28</v>
      </c>
      <c r="EH27" s="375"/>
      <c r="EI27" s="270"/>
      <c r="EJ27" s="270"/>
      <c r="EK27" s="270"/>
      <c r="EL27" s="270"/>
      <c r="EM27" s="270"/>
      <c r="EN27" s="270"/>
      <c r="EO27" s="270"/>
      <c r="EP27" s="274" t="s">
        <v>29</v>
      </c>
      <c r="EQ27" s="270"/>
      <c r="ER27" s="306" t="s">
        <v>29</v>
      </c>
      <c r="ES27" s="307"/>
      <c r="ET27" s="374" t="str">
        <f>IF(EC21="","Original annual emissions (AU area)",CONCATENATE("Original annual emissions (",EC21," ha)"))</f>
        <v>Original annual emissions (AU area)</v>
      </c>
      <c r="EU27" s="375"/>
      <c r="EV27" s="307"/>
      <c r="EW27" s="275"/>
      <c r="EX27" s="272"/>
      <c r="EY27" s="272"/>
      <c r="EZ27" s="272"/>
      <c r="FA27" s="272"/>
      <c r="FB27" s="272"/>
      <c r="FC27" s="272"/>
      <c r="FD27" s="273"/>
    </row>
    <row r="28" spans="2:160" ht="15.75" thickBot="1" x14ac:dyDescent="0.3">
      <c r="B28" s="150"/>
      <c r="C28" s="151"/>
      <c r="D28" s="288"/>
      <c r="E28" s="151"/>
      <c r="F28" s="152"/>
      <c r="G28" s="270"/>
      <c r="H28" s="270"/>
      <c r="I28" s="270"/>
      <c r="J28" s="270"/>
      <c r="K28" s="270"/>
      <c r="L28" s="270"/>
      <c r="M28" s="270"/>
      <c r="N28" s="270"/>
      <c r="O28" s="270"/>
      <c r="P28" s="270"/>
      <c r="Q28" s="270"/>
      <c r="R28" s="270"/>
      <c r="S28" s="270"/>
      <c r="T28" s="271"/>
      <c r="U28" s="272"/>
      <c r="V28" s="272"/>
      <c r="W28" s="272"/>
      <c r="X28" s="272"/>
      <c r="Y28" s="272"/>
      <c r="Z28" s="272"/>
      <c r="AA28" s="272"/>
      <c r="AB28" s="272"/>
      <c r="AC28" s="272"/>
      <c r="AD28" s="272"/>
      <c r="AE28" s="272"/>
      <c r="AF28" s="273"/>
      <c r="AH28" s="150"/>
      <c r="AI28" s="151"/>
      <c r="AJ28" s="288"/>
      <c r="AK28" s="151"/>
      <c r="AL28" s="152"/>
      <c r="AM28" s="270"/>
      <c r="AN28" s="270"/>
      <c r="AO28" s="270"/>
      <c r="AP28" s="270"/>
      <c r="AQ28" s="270"/>
      <c r="AR28" s="270"/>
      <c r="AS28" s="270"/>
      <c r="AT28" s="270"/>
      <c r="AU28" s="270"/>
      <c r="AV28" s="270"/>
      <c r="AW28" s="270"/>
      <c r="AX28" s="270"/>
      <c r="AY28" s="270"/>
      <c r="AZ28" s="271"/>
      <c r="BA28" s="272"/>
      <c r="BB28" s="272"/>
      <c r="BC28" s="272"/>
      <c r="BD28" s="272"/>
      <c r="BE28" s="272"/>
      <c r="BF28" s="272"/>
      <c r="BG28" s="272"/>
      <c r="BH28" s="272"/>
      <c r="BI28" s="272"/>
      <c r="BJ28" s="272"/>
      <c r="BK28" s="272"/>
      <c r="BL28" s="273"/>
      <c r="BN28" s="150"/>
      <c r="BO28" s="151"/>
      <c r="BP28" s="288"/>
      <c r="BQ28" s="151"/>
      <c r="BR28" s="152"/>
      <c r="BS28" s="270"/>
      <c r="BT28" s="270"/>
      <c r="BU28" s="270"/>
      <c r="BV28" s="270"/>
      <c r="BW28" s="270"/>
      <c r="BX28" s="270"/>
      <c r="BY28" s="270"/>
      <c r="BZ28" s="270"/>
      <c r="CA28" s="270"/>
      <c r="CB28" s="270"/>
      <c r="CC28" s="270"/>
      <c r="CD28" s="270"/>
      <c r="CE28" s="270"/>
      <c r="CF28" s="271"/>
      <c r="CG28" s="272"/>
      <c r="CH28" s="272"/>
      <c r="CI28" s="272"/>
      <c r="CJ28" s="272"/>
      <c r="CK28" s="272"/>
      <c r="CL28" s="272"/>
      <c r="CM28" s="272"/>
      <c r="CN28" s="272"/>
      <c r="CO28" s="272"/>
      <c r="CP28" s="272"/>
      <c r="CQ28" s="272"/>
      <c r="CR28" s="273"/>
      <c r="CT28" s="150"/>
      <c r="CU28" s="151"/>
      <c r="CV28" s="288"/>
      <c r="CW28" s="151"/>
      <c r="CX28" s="152"/>
      <c r="CY28" s="270"/>
      <c r="CZ28" s="270"/>
      <c r="DA28" s="270"/>
      <c r="DB28" s="270"/>
      <c r="DC28" s="270"/>
      <c r="DD28" s="270"/>
      <c r="DE28" s="270"/>
      <c r="DF28" s="270"/>
      <c r="DG28" s="270"/>
      <c r="DH28" s="270"/>
      <c r="DI28" s="270"/>
      <c r="DJ28" s="270"/>
      <c r="DK28" s="270"/>
      <c r="DL28" s="271"/>
      <c r="DM28" s="272"/>
      <c r="DN28" s="272"/>
      <c r="DO28" s="272"/>
      <c r="DP28" s="272"/>
      <c r="DQ28" s="272"/>
      <c r="DR28" s="272"/>
      <c r="DS28" s="272"/>
      <c r="DT28" s="272"/>
      <c r="DU28" s="272"/>
      <c r="DV28" s="272"/>
      <c r="DW28" s="272"/>
      <c r="DX28" s="273"/>
      <c r="DZ28" s="150"/>
      <c r="EA28" s="151"/>
      <c r="EB28" s="288"/>
      <c r="EC28" s="151"/>
      <c r="ED28" s="152"/>
      <c r="EE28" s="270"/>
      <c r="EF28" s="270"/>
      <c r="EG28" s="270"/>
      <c r="EH28" s="270"/>
      <c r="EI28" s="270"/>
      <c r="EJ28" s="270"/>
      <c r="EK28" s="270"/>
      <c r="EL28" s="270"/>
      <c r="EM28" s="270"/>
      <c r="EN28" s="270"/>
      <c r="EO28" s="270"/>
      <c r="EP28" s="270"/>
      <c r="EQ28" s="270"/>
      <c r="ER28" s="271"/>
      <c r="ES28" s="272"/>
      <c r="ET28" s="272"/>
      <c r="EU28" s="272"/>
      <c r="EV28" s="272"/>
      <c r="EW28" s="272"/>
      <c r="EX28" s="272"/>
      <c r="EY28" s="272"/>
      <c r="EZ28" s="272"/>
      <c r="FA28" s="272"/>
      <c r="FB28" s="272"/>
      <c r="FC28" s="272"/>
      <c r="FD28" s="273"/>
    </row>
    <row r="29" spans="2:160" ht="15.75" thickBot="1" x14ac:dyDescent="0.3">
      <c r="B29" s="150"/>
      <c r="C29" s="193" t="s">
        <v>30</v>
      </c>
      <c r="D29" s="192" t="s">
        <v>31</v>
      </c>
      <c r="E29" s="329" t="s">
        <v>181</v>
      </c>
      <c r="F29" s="152"/>
      <c r="G29" s="270"/>
      <c r="H29" s="191" t="s">
        <v>32</v>
      </c>
      <c r="I29" s="160" t="s">
        <v>33</v>
      </c>
      <c r="J29" s="160">
        <f>IF(E33&gt;E32,E32,E33)</f>
        <v>40</v>
      </c>
      <c r="K29" s="270"/>
      <c r="L29" s="270"/>
      <c r="M29" s="270"/>
      <c r="N29" s="270"/>
      <c r="O29" s="270"/>
      <c r="P29" s="270"/>
      <c r="Q29" s="270"/>
      <c r="R29" s="270"/>
      <c r="S29" s="270"/>
      <c r="T29" s="271"/>
      <c r="U29" s="193" t="s">
        <v>32</v>
      </c>
      <c r="V29" s="160" t="s">
        <v>33</v>
      </c>
      <c r="W29" s="160">
        <f>IF($E$16="","N/a",J29)</f>
        <v>40</v>
      </c>
      <c r="X29" s="272"/>
      <c r="Y29" s="272"/>
      <c r="Z29" s="272"/>
      <c r="AA29" s="272"/>
      <c r="AB29" s="272"/>
      <c r="AC29" s="272"/>
      <c r="AD29" s="272"/>
      <c r="AE29" s="272"/>
      <c r="AF29" s="273"/>
      <c r="AH29" s="150"/>
      <c r="AI29" s="193" t="s">
        <v>30</v>
      </c>
      <c r="AJ29" s="192" t="s">
        <v>31</v>
      </c>
      <c r="AK29" s="329" t="s">
        <v>195</v>
      </c>
      <c r="AL29" s="152"/>
      <c r="AM29" s="270"/>
      <c r="AN29" s="191" t="s">
        <v>32</v>
      </c>
      <c r="AO29" s="160" t="s">
        <v>33</v>
      </c>
      <c r="AP29" s="160">
        <f>IF(AK33&gt;AK32,AK32,AK33)</f>
        <v>40</v>
      </c>
      <c r="AQ29" s="270"/>
      <c r="AR29" s="270"/>
      <c r="AS29" s="270"/>
      <c r="AT29" s="270"/>
      <c r="AU29" s="270"/>
      <c r="AV29" s="270"/>
      <c r="AW29" s="270"/>
      <c r="AX29" s="270"/>
      <c r="AY29" s="270"/>
      <c r="AZ29" s="271"/>
      <c r="BA29" s="193" t="s">
        <v>32</v>
      </c>
      <c r="BB29" s="160" t="s">
        <v>33</v>
      </c>
      <c r="BC29" s="160">
        <f>IF(AK21="","N/a",AP29)</f>
        <v>40</v>
      </c>
      <c r="BD29" s="272"/>
      <c r="BE29" s="272"/>
      <c r="BF29" s="272"/>
      <c r="BG29" s="272"/>
      <c r="BH29" s="272"/>
      <c r="BI29" s="272"/>
      <c r="BJ29" s="272"/>
      <c r="BK29" s="272"/>
      <c r="BL29" s="273"/>
      <c r="BN29" s="150"/>
      <c r="BO29" s="193" t="s">
        <v>30</v>
      </c>
      <c r="BP29" s="192" t="s">
        <v>31</v>
      </c>
      <c r="BQ29" s="329"/>
      <c r="BR29" s="152"/>
      <c r="BS29" s="270"/>
      <c r="BT29" s="191" t="s">
        <v>32</v>
      </c>
      <c r="BU29" s="160" t="s">
        <v>33</v>
      </c>
      <c r="BV29" s="160">
        <f>IF(BQ33&gt;BQ32,BQ32,BQ33)</f>
        <v>0</v>
      </c>
      <c r="BW29" s="270"/>
      <c r="BX29" s="270"/>
      <c r="BY29" s="270"/>
      <c r="BZ29" s="270"/>
      <c r="CA29" s="270"/>
      <c r="CB29" s="270"/>
      <c r="CC29" s="270"/>
      <c r="CD29" s="270"/>
      <c r="CE29" s="270"/>
      <c r="CF29" s="271"/>
      <c r="CG29" s="193" t="s">
        <v>32</v>
      </c>
      <c r="CH29" s="160" t="s">
        <v>33</v>
      </c>
      <c r="CI29" s="160" t="str">
        <f>IF(BQ21="","N/a",BV29)</f>
        <v>N/a</v>
      </c>
      <c r="CJ29" s="272"/>
      <c r="CK29" s="272"/>
      <c r="CL29" s="272"/>
      <c r="CM29" s="272"/>
      <c r="CN29" s="272"/>
      <c r="CO29" s="272"/>
      <c r="CP29" s="272"/>
      <c r="CQ29" s="272"/>
      <c r="CR29" s="273"/>
      <c r="CT29" s="150"/>
      <c r="CU29" s="193" t="s">
        <v>30</v>
      </c>
      <c r="CV29" s="192" t="s">
        <v>31</v>
      </c>
      <c r="CW29" s="329"/>
      <c r="CX29" s="152"/>
      <c r="CY29" s="270"/>
      <c r="CZ29" s="191" t="s">
        <v>32</v>
      </c>
      <c r="DA29" s="160" t="s">
        <v>33</v>
      </c>
      <c r="DB29" s="160">
        <f>IF(CW33&gt;CW32,CW32,CW33)</f>
        <v>0</v>
      </c>
      <c r="DC29" s="270"/>
      <c r="DD29" s="270"/>
      <c r="DE29" s="270"/>
      <c r="DF29" s="270"/>
      <c r="DG29" s="270"/>
      <c r="DH29" s="270"/>
      <c r="DI29" s="270"/>
      <c r="DJ29" s="270"/>
      <c r="DK29" s="270"/>
      <c r="DL29" s="271"/>
      <c r="DM29" s="193" t="s">
        <v>32</v>
      </c>
      <c r="DN29" s="160" t="s">
        <v>33</v>
      </c>
      <c r="DO29" s="160" t="str">
        <f>IF(CW21="","N/a",DB29)</f>
        <v>N/a</v>
      </c>
      <c r="DP29" s="272"/>
      <c r="DQ29" s="272"/>
      <c r="DR29" s="272"/>
      <c r="DS29" s="272"/>
      <c r="DT29" s="272"/>
      <c r="DU29" s="272"/>
      <c r="DV29" s="272"/>
      <c r="DW29" s="272"/>
      <c r="DX29" s="273"/>
      <c r="DZ29" s="150"/>
      <c r="EA29" s="193" t="s">
        <v>30</v>
      </c>
      <c r="EB29" s="192" t="s">
        <v>31</v>
      </c>
      <c r="EC29" s="329"/>
      <c r="ED29" s="152"/>
      <c r="EE29" s="270"/>
      <c r="EF29" s="191" t="s">
        <v>32</v>
      </c>
      <c r="EG29" s="160" t="s">
        <v>33</v>
      </c>
      <c r="EH29" s="160">
        <f>IF(EC33&gt;EC32,EC32,EC33)</f>
        <v>0</v>
      </c>
      <c r="EI29" s="270"/>
      <c r="EJ29" s="270"/>
      <c r="EK29" s="270"/>
      <c r="EL29" s="270"/>
      <c r="EM29" s="270"/>
      <c r="EN29" s="270"/>
      <c r="EO29" s="270"/>
      <c r="EP29" s="270"/>
      <c r="EQ29" s="270"/>
      <c r="ER29" s="271"/>
      <c r="ES29" s="193" t="s">
        <v>32</v>
      </c>
      <c r="ET29" s="160" t="s">
        <v>33</v>
      </c>
      <c r="EU29" s="160" t="str">
        <f>IF(EC21="","N/a",EH29)</f>
        <v>N/a</v>
      </c>
      <c r="EV29" s="272"/>
      <c r="EW29" s="272"/>
      <c r="EX29" s="272"/>
      <c r="EY29" s="272"/>
      <c r="EZ29" s="272"/>
      <c r="FA29" s="272"/>
      <c r="FB29" s="272"/>
      <c r="FC29" s="272"/>
      <c r="FD29" s="273"/>
    </row>
    <row r="30" spans="2:160" x14ac:dyDescent="0.25">
      <c r="B30" s="150"/>
      <c r="C30" s="151"/>
      <c r="D30" s="195" t="s">
        <v>34</v>
      </c>
      <c r="E30" s="154">
        <f>IF(E29='Category Reference Values'!$C$6,'Category Reference Values'!$D$6,IF(E29='Category Reference Values'!$C$7,'Category Reference Values'!$D$7,IF(E29='Category Reference Values'!$C$8,'Category Reference Values'!$D$8,IF(E29='Category Reference Values'!$C$9,'Category Reference Values'!$D$9,IF(E29='Category Reference Values'!$C$10,'Category Reference Values'!$D$10,IF(E29='Category Reference Values'!$C$11,'Category Reference Values'!$D$11,"Error"))))))</f>
        <v>5</v>
      </c>
      <c r="F30" s="152"/>
      <c r="G30" s="270"/>
      <c r="H30" s="270"/>
      <c r="I30" s="154" t="s">
        <v>35</v>
      </c>
      <c r="J30" s="155">
        <f>IF($E$29='Category Reference Values'!$C$6,VLOOKUP($J$29,'Near-natural Fen'!$C$8:$G$26,3,FALSE),IF($E$29='Category Reference Values'!$C$7,VLOOKUP($J$29,'Re-wetted Fen'!$C$8:$G$33,3,FALSE),IF($E$29='Category Reference Values'!$C$8,VLOOKUP($J$29,'Modified Fen'!$C$8:$G$53,3,FALSE),IF($E$29='Category Reference Values'!$C$9,VLOOKUP($J$29,'Grassland (Extensive)'!$C$8:$G$94,3,FALSE),IF($E$29='Category Reference Values'!$C$10,VLOOKUP($J$29,'Grassland - (Intensive)'!$C$8:$G$94,3,FALSE),IF($E$29='Category Reference Values'!$C$11,VLOOKUP($J$29,Cropland!$C$8:$G$94,3,FALSE),"Error"))))))</f>
        <v>13.324666666666667</v>
      </c>
      <c r="K30" s="270"/>
      <c r="L30" s="289"/>
      <c r="M30" s="270"/>
      <c r="N30" s="270" t="s">
        <v>36</v>
      </c>
      <c r="O30" s="270"/>
      <c r="P30" s="270"/>
      <c r="Q30" s="270"/>
      <c r="R30" s="270"/>
      <c r="S30" s="270"/>
      <c r="T30" s="271"/>
      <c r="U30" s="272"/>
      <c r="V30" s="154" t="s">
        <v>37</v>
      </c>
      <c r="W30" s="155">
        <f t="shared" ref="W30:W36" si="0">IF($E$16="","N/a",$E$16*J30)</f>
        <v>133.24666666666667</v>
      </c>
      <c r="X30" s="272"/>
      <c r="Y30" s="272"/>
      <c r="Z30" s="272"/>
      <c r="AA30" s="272"/>
      <c r="AB30" s="272"/>
      <c r="AC30" s="272"/>
      <c r="AD30" s="272"/>
      <c r="AE30" s="272"/>
      <c r="AF30" s="273"/>
      <c r="AH30" s="150"/>
      <c r="AI30" s="151"/>
      <c r="AJ30" s="195" t="s">
        <v>34</v>
      </c>
      <c r="AK30" s="154">
        <f>IF(AK29='Category Reference Values'!$C$6,'Category Reference Values'!$D$6,IF(AK29='Category Reference Values'!$C$7,'Category Reference Values'!$D$7,IF(AK29='Category Reference Values'!$C$8,'Category Reference Values'!$D$8,IF(AK29='Category Reference Values'!$C$9,'Category Reference Values'!$D$9,IF(AK29='Category Reference Values'!$C$10,'Category Reference Values'!$D$10,IF(AK29='Category Reference Values'!$C$11,'Category Reference Values'!$D$11,"Error"))))))</f>
        <v>30</v>
      </c>
      <c r="AL30" s="152"/>
      <c r="AM30" s="270"/>
      <c r="AN30" s="270"/>
      <c r="AO30" s="154" t="s">
        <v>35</v>
      </c>
      <c r="AP30" s="155">
        <f>IF(AK29='Category Reference Values'!$C$6,VLOOKUP(AP29,'Near-natural Fen'!$C$8:$G$26,3,FALSE),IF(AK29='Category Reference Values'!$C$7,VLOOKUP(AP29,'Re-wetted Fen'!$C$8:$G$33,3,FALSE),IF(AK29='Category Reference Values'!$C$8,VLOOKUP(AP29,'Modified Fen'!$C$8:$G$53,3,FALSE),IF(AK29='Category Reference Values'!$C$9,VLOOKUP(AP29,'Grassland (Extensive)'!$C$8:$G$94,3,FALSE),IF(AK29='Category Reference Values'!$C$10,VLOOKUP(AP29,'Grassland - (Intensive)'!$C$8:$G$94,3,FALSE),IF(AK29='Category Reference Values'!$C$11,VLOOKUP(AP29,Cropland!$C$8:$G$94,3,FALSE),"Error"))))))</f>
        <v>13.324666666666667</v>
      </c>
      <c r="AQ30" s="270"/>
      <c r="AR30" s="289"/>
      <c r="AS30" s="270"/>
      <c r="AT30" s="270" t="s">
        <v>36</v>
      </c>
      <c r="AU30" s="270"/>
      <c r="AV30" s="270"/>
      <c r="AW30" s="270"/>
      <c r="AX30" s="270"/>
      <c r="AY30" s="270"/>
      <c r="AZ30" s="271"/>
      <c r="BA30" s="272"/>
      <c r="BB30" s="154" t="s">
        <v>37</v>
      </c>
      <c r="BC30" s="155">
        <f>IF(AK21="","N/a",AK21*AP30)</f>
        <v>133.24666666666667</v>
      </c>
      <c r="BD30" s="272"/>
      <c r="BE30" s="272"/>
      <c r="BF30" s="272"/>
      <c r="BG30" s="272"/>
      <c r="BH30" s="272"/>
      <c r="BI30" s="272"/>
      <c r="BJ30" s="272"/>
      <c r="BK30" s="272"/>
      <c r="BL30" s="273"/>
      <c r="BN30" s="150"/>
      <c r="BO30" s="151"/>
      <c r="BP30" s="195" t="s">
        <v>34</v>
      </c>
      <c r="BQ30" s="154" t="str">
        <f>IF(BQ29='Category Reference Values'!$C$6,'Category Reference Values'!$D$6,IF(BQ29='Category Reference Values'!$C$7,'Category Reference Values'!$D$7,IF(BQ29='Category Reference Values'!$C$8,'Category Reference Values'!$D$8,IF(BQ29='Category Reference Values'!$C$9,'Category Reference Values'!$D$9,IF(BQ29='Category Reference Values'!$C$10,'Category Reference Values'!$D$10,IF(BQ29='Category Reference Values'!$C$11,'Category Reference Values'!$D$11,"Error"))))))</f>
        <v>Error</v>
      </c>
      <c r="BR30" s="152"/>
      <c r="BS30" s="270"/>
      <c r="BT30" s="270"/>
      <c r="BU30" s="154" t="s">
        <v>35</v>
      </c>
      <c r="BV30" s="155" t="str">
        <f>IF(BQ29='Category Reference Values'!$C$6,VLOOKUP(BV29,'Near-natural Fen'!$C$8:$G$26,3,FALSE),IF(BQ29='Category Reference Values'!$C$7,VLOOKUP(BV29,'Re-wetted Fen'!$C$8:$G$33,3,FALSE),IF(BQ29='Category Reference Values'!$C$8,VLOOKUP(BV29,'Modified Fen'!$C$8:$G$53,3,FALSE),IF(BQ29='Category Reference Values'!$C$9,VLOOKUP(BV29,'Grassland (Extensive)'!$C$8:$G$94,3,FALSE),IF(BQ29='Category Reference Values'!$C$10,VLOOKUP(BV29,'Grassland - (Intensive)'!$C$8:$G$94,3,FALSE),IF(BQ29='Category Reference Values'!$C$11,VLOOKUP(BV29,Cropland!$C$8:$G$94,3,FALSE),"Error"))))))</f>
        <v>Error</v>
      </c>
      <c r="BW30" s="270"/>
      <c r="BX30" s="289"/>
      <c r="BY30" s="270"/>
      <c r="BZ30" s="270" t="s">
        <v>36</v>
      </c>
      <c r="CA30" s="270"/>
      <c r="CB30" s="270"/>
      <c r="CC30" s="270"/>
      <c r="CD30" s="270"/>
      <c r="CE30" s="270"/>
      <c r="CF30" s="271"/>
      <c r="CG30" s="272"/>
      <c r="CH30" s="154" t="s">
        <v>37</v>
      </c>
      <c r="CI30" s="155" t="str">
        <f>IF(BQ21="","N/a",BQ21*BV30)</f>
        <v>N/a</v>
      </c>
      <c r="CJ30" s="272"/>
      <c r="CK30" s="272"/>
      <c r="CL30" s="272"/>
      <c r="CM30" s="272"/>
      <c r="CN30" s="272"/>
      <c r="CO30" s="272"/>
      <c r="CP30" s="272"/>
      <c r="CQ30" s="272"/>
      <c r="CR30" s="273"/>
      <c r="CT30" s="150"/>
      <c r="CU30" s="151"/>
      <c r="CV30" s="195" t="s">
        <v>34</v>
      </c>
      <c r="CW30" s="154" t="str">
        <f>IF(CW29='Category Reference Values'!$C$6,'Category Reference Values'!$D$6,IF(CW29='Category Reference Values'!$C$7,'Category Reference Values'!$D$7,IF(CW29='Category Reference Values'!$C$8,'Category Reference Values'!$D$8,IF(CW29='Category Reference Values'!$C$9,'Category Reference Values'!$D$9,IF(CW29='Category Reference Values'!$C$10,'Category Reference Values'!$D$10,IF(CW29='Category Reference Values'!$C$11,'Category Reference Values'!$D$11,"Error"))))))</f>
        <v>Error</v>
      </c>
      <c r="CX30" s="152"/>
      <c r="CY30" s="270"/>
      <c r="CZ30" s="270"/>
      <c r="DA30" s="154" t="s">
        <v>35</v>
      </c>
      <c r="DB30" s="155" t="str">
        <f>IF(CW29='Category Reference Values'!$C$6,VLOOKUP(DB29,'Near-natural Fen'!$C$8:$G$26,3,FALSE),IF(CW29='Category Reference Values'!$C$7,VLOOKUP(DB29,'Re-wetted Fen'!$C$8:$G$33,3,FALSE),IF(CW29='Category Reference Values'!$C$8,VLOOKUP(DB29,'Modified Fen'!$C$8:$G$53,3,FALSE),IF(CW29='Category Reference Values'!$C$9,VLOOKUP(DB29,'Grassland (Extensive)'!$C$8:$G$94,3,FALSE),IF(CW29='Category Reference Values'!$C$10,VLOOKUP(DB29,'Grassland - (Intensive)'!$C$8:$G$94,3,FALSE),IF(CW29='Category Reference Values'!$C$11,VLOOKUP(DB29,Cropland!$C$8:$G$94,3,FALSE),"Error"))))))</f>
        <v>Error</v>
      </c>
      <c r="DC30" s="270"/>
      <c r="DD30" s="289"/>
      <c r="DE30" s="270"/>
      <c r="DF30" s="270" t="s">
        <v>36</v>
      </c>
      <c r="DG30" s="270"/>
      <c r="DH30" s="270"/>
      <c r="DI30" s="270"/>
      <c r="DJ30" s="270"/>
      <c r="DK30" s="270"/>
      <c r="DL30" s="271"/>
      <c r="DM30" s="272"/>
      <c r="DN30" s="154" t="s">
        <v>37</v>
      </c>
      <c r="DO30" s="155" t="str">
        <f>IF(CW21="","N/a",CW21*DB30)</f>
        <v>N/a</v>
      </c>
      <c r="DP30" s="272"/>
      <c r="DQ30" s="272"/>
      <c r="DR30" s="272"/>
      <c r="DS30" s="272"/>
      <c r="DT30" s="272"/>
      <c r="DU30" s="272"/>
      <c r="DV30" s="272"/>
      <c r="DW30" s="272"/>
      <c r="DX30" s="273"/>
      <c r="DZ30" s="150"/>
      <c r="EA30" s="151"/>
      <c r="EB30" s="195" t="s">
        <v>34</v>
      </c>
      <c r="EC30" s="154" t="str">
        <f>IF(EC29='Category Reference Values'!$C$6,'Category Reference Values'!$D$6,IF(EC29='Category Reference Values'!$C$7,'Category Reference Values'!$D$7,IF(EC29='Category Reference Values'!$C$8,'Category Reference Values'!$D$8,IF(EC29='Category Reference Values'!$C$9,'Category Reference Values'!$D$9,IF(EC29='Category Reference Values'!$C$10,'Category Reference Values'!$D$10,IF(EC29='Category Reference Values'!$C$11,'Category Reference Values'!$D$11,"Error"))))))</f>
        <v>Error</v>
      </c>
      <c r="ED30" s="152"/>
      <c r="EE30" s="270"/>
      <c r="EF30" s="270"/>
      <c r="EG30" s="154" t="s">
        <v>35</v>
      </c>
      <c r="EH30" s="155" t="str">
        <f>IF(EC29='Category Reference Values'!$C$6,VLOOKUP(EH29,'Near-natural Fen'!$C$8:$G$26,3,FALSE),IF(EC29='Category Reference Values'!$C$7,VLOOKUP(EH29,'Re-wetted Fen'!$C$8:$G$33,3,FALSE),IF(EC29='Category Reference Values'!$C$8,VLOOKUP(EH29,'Modified Fen'!$C$8:$G$53,3,FALSE),IF(EC29='Category Reference Values'!$C$9,VLOOKUP(EH29,'Grassland (Extensive)'!$C$8:$G$94,3,FALSE),IF(EC29='Category Reference Values'!$C$10,VLOOKUP(EH29,'Grassland - (Intensive)'!$C$8:$G$94,3,FALSE),IF(EC29='Category Reference Values'!$C$11,VLOOKUP(EH29,Cropland!$C$8:$G$94,3,FALSE),"Error"))))))</f>
        <v>Error</v>
      </c>
      <c r="EI30" s="270"/>
      <c r="EJ30" s="289"/>
      <c r="EK30" s="270"/>
      <c r="EL30" s="270" t="s">
        <v>36</v>
      </c>
      <c r="EM30" s="270"/>
      <c r="EN30" s="270"/>
      <c r="EO30" s="270"/>
      <c r="EP30" s="270"/>
      <c r="EQ30" s="270"/>
      <c r="ER30" s="271"/>
      <c r="ES30" s="272"/>
      <c r="ET30" s="154" t="s">
        <v>37</v>
      </c>
      <c r="EU30" s="155" t="str">
        <f>IF(EC21="","N/a",EC21*EH30)</f>
        <v>N/a</v>
      </c>
      <c r="EV30" s="272"/>
      <c r="EW30" s="272"/>
      <c r="EX30" s="272"/>
      <c r="EY30" s="272"/>
      <c r="EZ30" s="272"/>
      <c r="FA30" s="272"/>
      <c r="FB30" s="272"/>
      <c r="FC30" s="272"/>
      <c r="FD30" s="273"/>
    </row>
    <row r="31" spans="2:160" ht="15.75" thickBot="1" x14ac:dyDescent="0.3">
      <c r="B31" s="150"/>
      <c r="C31" s="151"/>
      <c r="D31" s="195" t="s">
        <v>38</v>
      </c>
      <c r="E31" s="154">
        <f>IF(E29='Category Reference Values'!$C$6,'Category Reference Values'!$E$6,IF(E29='Category Reference Values'!$C$7,'Category Reference Values'!$E$7,IF(E29='Category Reference Values'!$C$8,'Category Reference Values'!$E$8,IF(E29='Category Reference Values'!$C$9,'Category Reference Values'!$E$9,IF(E29='Category Reference Values'!$C$10,'Category Reference Values'!$E$10,IF(E29='Category Reference Values'!$C$11,'Category Reference Values'!$E$11,"Error"))))))</f>
        <v>50</v>
      </c>
      <c r="F31" s="152"/>
      <c r="G31" s="270"/>
      <c r="H31" s="270"/>
      <c r="I31" s="154" t="s">
        <v>39</v>
      </c>
      <c r="J31" s="155">
        <f>IF($E$29='Category Reference Values'!$C$6,VLOOKUP($E$32,'Near-natural Fen'!$C$8:$G$26,5,FALSE),IF($E$29='Category Reference Values'!$C$7,VLOOKUP($E$32,'Re-wetted Fen'!$C$8:$G$33,5,FALSE),IF($E$29='Category Reference Values'!$C$8,VLOOKUP($E$32,'Modified Fen'!$C$8:$G$53,5,FALSE),IF($E$29='Category Reference Values'!$C$9,VLOOKUP($E$32,'Grassland (Extensive)'!$C$8:$G$94,5,FALSE),IF($E$29='Category Reference Values'!$C$10,VLOOKUP($E$32,'Grassland - (Intensive)'!$C$8:$G$94,5,FALSE),IF($E$29='Category Reference Values'!$C$11,VLOOKUP($E$32,Cropland!$C$8:$G$94,5,FALSE),"Error"))))))</f>
        <v>0.78572100686250501</v>
      </c>
      <c r="K31" s="270"/>
      <c r="L31" s="289"/>
      <c r="M31" s="270"/>
      <c r="N31" s="270"/>
      <c r="O31" s="270"/>
      <c r="P31" s="270"/>
      <c r="Q31" s="270"/>
      <c r="R31" s="270"/>
      <c r="S31" s="270"/>
      <c r="T31" s="271"/>
      <c r="U31" s="272"/>
      <c r="V31" s="154" t="s">
        <v>40</v>
      </c>
      <c r="W31" s="155">
        <f t="shared" si="0"/>
        <v>7.8572100686250499</v>
      </c>
      <c r="X31" s="272"/>
      <c r="Y31" s="272"/>
      <c r="Z31" s="272"/>
      <c r="AA31" s="272"/>
      <c r="AB31" s="272"/>
      <c r="AC31" s="272"/>
      <c r="AD31" s="272"/>
      <c r="AE31" s="272"/>
      <c r="AF31" s="273"/>
      <c r="AH31" s="150"/>
      <c r="AI31" s="151"/>
      <c r="AJ31" s="195" t="s">
        <v>38</v>
      </c>
      <c r="AK31" s="154">
        <f>IF(AK29='Category Reference Values'!$C$6,'Category Reference Values'!$E$6,IF(AK29='Category Reference Values'!$C$7,'Category Reference Values'!$E$7,IF(AK29='Category Reference Values'!$C$8,'Category Reference Values'!$E$8,IF(AK29='Category Reference Values'!$C$9,'Category Reference Values'!$E$9,IF(AK29='Category Reference Values'!$C$10,'Category Reference Values'!$E$10,IF(AK29='Category Reference Values'!$C$11,'Category Reference Values'!$E$11,"Error"))))))</f>
        <v>100</v>
      </c>
      <c r="AL31" s="152"/>
      <c r="AM31" s="270"/>
      <c r="AN31" s="270"/>
      <c r="AO31" s="154" t="s">
        <v>39</v>
      </c>
      <c r="AP31" s="155">
        <f>IF(AK29='Category Reference Values'!$C$6,VLOOKUP(AK32,'Near-natural Fen'!$C$8:$G$26,5,FALSE),IF(AK29='Category Reference Values'!$C$7,VLOOKUP(AK32,'Re-wetted Fen'!$C$8:$G$33,5,FALSE),IF(AK29='Category Reference Values'!$C$8,VLOOKUP(AK32,'Modified Fen'!$C$8:$G$53,5,FALSE),IF(AK29='Category Reference Values'!$C$9,VLOOKUP(AK32,'Grassland (Extensive)'!$C$8:$G$94,5,FALSE),IF(AK29='Category Reference Values'!$C$10,VLOOKUP(AK32,'Grassland - (Intensive)'!$C$8:$G$94,5,FALSE),IF(AK29='Category Reference Values'!$C$11,VLOOKUP(AK32,Cropland!$C$8:$G$94,5,FALSE),"Error"))))))</f>
        <v>1.6225972006820124</v>
      </c>
      <c r="AQ31" s="270"/>
      <c r="AR31" s="289"/>
      <c r="AS31" s="270"/>
      <c r="AT31" s="270"/>
      <c r="AU31" s="270"/>
      <c r="AV31" s="270"/>
      <c r="AW31" s="270"/>
      <c r="AX31" s="270"/>
      <c r="AY31" s="270"/>
      <c r="AZ31" s="271"/>
      <c r="BA31" s="272"/>
      <c r="BB31" s="154" t="s">
        <v>40</v>
      </c>
      <c r="BC31" s="155">
        <f>IF(AK21="","N/a",AK21*AP31)</f>
        <v>16.225972006820125</v>
      </c>
      <c r="BD31" s="272"/>
      <c r="BE31" s="272"/>
      <c r="BF31" s="272"/>
      <c r="BG31" s="272"/>
      <c r="BH31" s="272"/>
      <c r="BI31" s="272"/>
      <c r="BJ31" s="272"/>
      <c r="BK31" s="272"/>
      <c r="BL31" s="273"/>
      <c r="BN31" s="150"/>
      <c r="BO31" s="151"/>
      <c r="BP31" s="195" t="s">
        <v>38</v>
      </c>
      <c r="BQ31" s="154" t="str">
        <f>IF(BQ29='Category Reference Values'!$C$6,'Category Reference Values'!$E$6,IF(BQ29='Category Reference Values'!$C$7,'Category Reference Values'!$E$7,IF(BQ29='Category Reference Values'!$C$8,'Category Reference Values'!$E$8,IF(BQ29='Category Reference Values'!$C$9,'Category Reference Values'!$E$9,IF(BQ29='Category Reference Values'!$C$10,'Category Reference Values'!$E$10,IF(BQ29='Category Reference Values'!$C$11,'Category Reference Values'!$E$11,"Error"))))))</f>
        <v>Error</v>
      </c>
      <c r="BR31" s="152"/>
      <c r="BS31" s="270"/>
      <c r="BT31" s="270"/>
      <c r="BU31" s="154" t="s">
        <v>39</v>
      </c>
      <c r="BV31" s="155" t="str">
        <f>IF(BQ29='Category Reference Values'!$C$6,VLOOKUP(BQ32,'Near-natural Fen'!$C$8:$G$26,5,FALSE),IF(BQ29='Category Reference Values'!$C$7,VLOOKUP(BQ32,'Re-wetted Fen'!$C$8:$G$33,5,FALSE),IF(BQ29='Category Reference Values'!$C$8,VLOOKUP(BQ32,'Modified Fen'!$C$8:$G$53,5,FALSE),IF(BQ29='Category Reference Values'!$C$9,VLOOKUP(BQ32,'Grassland (Extensive)'!$C$8:$G$94,5,FALSE),IF(BQ29='Category Reference Values'!$C$10,VLOOKUP(BQ32,'Grassland - (Intensive)'!$C$8:$G$94,5,FALSE),IF(BQ29='Category Reference Values'!$C$11,VLOOKUP(BQ32,Cropland!$C$8:$G$94,5,FALSE),"Error"))))))</f>
        <v>Error</v>
      </c>
      <c r="BW31" s="270"/>
      <c r="BX31" s="289"/>
      <c r="BY31" s="270"/>
      <c r="BZ31" s="270"/>
      <c r="CA31" s="270"/>
      <c r="CB31" s="270"/>
      <c r="CC31" s="270"/>
      <c r="CD31" s="270"/>
      <c r="CE31" s="270"/>
      <c r="CF31" s="271"/>
      <c r="CG31" s="272"/>
      <c r="CH31" s="154" t="s">
        <v>40</v>
      </c>
      <c r="CI31" s="155" t="str">
        <f>IF(BQ21="","N/a",BQ21*BV31)</f>
        <v>N/a</v>
      </c>
      <c r="CJ31" s="272"/>
      <c r="CK31" s="272"/>
      <c r="CL31" s="272"/>
      <c r="CM31" s="272"/>
      <c r="CN31" s="272"/>
      <c r="CO31" s="272"/>
      <c r="CP31" s="272"/>
      <c r="CQ31" s="272"/>
      <c r="CR31" s="273"/>
      <c r="CT31" s="150"/>
      <c r="CU31" s="151"/>
      <c r="CV31" s="195" t="s">
        <v>38</v>
      </c>
      <c r="CW31" s="154" t="str">
        <f>IF(CW29='Category Reference Values'!$C$6,'Category Reference Values'!$E$6,IF(CW29='Category Reference Values'!$C$7,'Category Reference Values'!$E$7,IF(CW29='Category Reference Values'!$C$8,'Category Reference Values'!$E$8,IF(CW29='Category Reference Values'!$C$9,'Category Reference Values'!$E$9,IF(CW29='Category Reference Values'!$C$10,'Category Reference Values'!$E$10,IF(CW29='Category Reference Values'!$C$11,'Category Reference Values'!$E$11,"Error"))))))</f>
        <v>Error</v>
      </c>
      <c r="CX31" s="152"/>
      <c r="CY31" s="270"/>
      <c r="CZ31" s="270"/>
      <c r="DA31" s="154" t="s">
        <v>39</v>
      </c>
      <c r="DB31" s="155" t="str">
        <f>IF(CW29='Category Reference Values'!$C$6,VLOOKUP(CW32,'Near-natural Fen'!$C$8:$G$26,5,FALSE),IF(CW29='Category Reference Values'!$C$7,VLOOKUP(CW32,'Re-wetted Fen'!$C$8:$G$33,5,FALSE),IF(CW29='Category Reference Values'!$C$8,VLOOKUP(CW32,'Modified Fen'!$C$8:$G$53,5,FALSE),IF(CW29='Category Reference Values'!$C$9,VLOOKUP(CW32,'Grassland (Extensive)'!$C$8:$G$94,5,FALSE),IF(CW29='Category Reference Values'!$C$10,VLOOKUP(CW32,'Grassland - (Intensive)'!$C$8:$G$94,5,FALSE),IF(CW29='Category Reference Values'!$C$11,VLOOKUP(CW32,Cropland!$C$8:$G$94,5,FALSE),"Error"))))))</f>
        <v>Error</v>
      </c>
      <c r="DC31" s="270"/>
      <c r="DD31" s="289"/>
      <c r="DE31" s="270"/>
      <c r="DF31" s="270"/>
      <c r="DG31" s="270"/>
      <c r="DH31" s="270"/>
      <c r="DI31" s="270"/>
      <c r="DJ31" s="270"/>
      <c r="DK31" s="270"/>
      <c r="DL31" s="271"/>
      <c r="DM31" s="272"/>
      <c r="DN31" s="154" t="s">
        <v>40</v>
      </c>
      <c r="DO31" s="155" t="str">
        <f>IF(CW21="","N/a",CW21*DB31)</f>
        <v>N/a</v>
      </c>
      <c r="DP31" s="272"/>
      <c r="DQ31" s="272"/>
      <c r="DR31" s="272"/>
      <c r="DS31" s="272"/>
      <c r="DT31" s="272"/>
      <c r="DU31" s="272"/>
      <c r="DV31" s="272"/>
      <c r="DW31" s="272"/>
      <c r="DX31" s="273"/>
      <c r="DZ31" s="150"/>
      <c r="EA31" s="151"/>
      <c r="EB31" s="195" t="s">
        <v>38</v>
      </c>
      <c r="EC31" s="154" t="str">
        <f>IF(EC29='Category Reference Values'!$C$6,'Category Reference Values'!$E$6,IF(EC29='Category Reference Values'!$C$7,'Category Reference Values'!$E$7,IF(EC29='Category Reference Values'!$C$8,'Category Reference Values'!$E$8,IF(EC29='Category Reference Values'!$C$9,'Category Reference Values'!$E$9,IF(EC29='Category Reference Values'!$C$10,'Category Reference Values'!$E$10,IF(EC29='Category Reference Values'!$C$11,'Category Reference Values'!$E$11,"Error"))))))</f>
        <v>Error</v>
      </c>
      <c r="ED31" s="152"/>
      <c r="EE31" s="270"/>
      <c r="EF31" s="270"/>
      <c r="EG31" s="154" t="s">
        <v>39</v>
      </c>
      <c r="EH31" s="155" t="str">
        <f>IF(EC29='Category Reference Values'!$C$6,VLOOKUP(EC32,'Near-natural Fen'!$C$8:$G$26,5,FALSE),IF(EC29='Category Reference Values'!$C$7,VLOOKUP(EC32,'Re-wetted Fen'!$C$8:$G$33,5,FALSE),IF(EC29='Category Reference Values'!$C$8,VLOOKUP(EC32,'Modified Fen'!$C$8:$G$533,5,FALSE),IF(EC29='Category Reference Values'!$C$9,VLOOKUP(EC32,'Grassland (Extensive)'!$C$8:$G$94,5,FALSE),IF(EC29='Category Reference Values'!$C$10,VLOOKUP(EC32,'Grassland - (Intensive)'!$C$8:$G$94,5,FALSE),IF(EC29='Category Reference Values'!$C$11,VLOOKUP(EC32,Cropland!$C$8:$G$94,5,FALSE),"Error"))))))</f>
        <v>Error</v>
      </c>
      <c r="EI31" s="270"/>
      <c r="EJ31" s="289"/>
      <c r="EK31" s="270"/>
      <c r="EL31" s="270"/>
      <c r="EM31" s="270"/>
      <c r="EN31" s="270"/>
      <c r="EO31" s="270"/>
      <c r="EP31" s="270"/>
      <c r="EQ31" s="270"/>
      <c r="ER31" s="271"/>
      <c r="ES31" s="272"/>
      <c r="ET31" s="154" t="s">
        <v>40</v>
      </c>
      <c r="EU31" s="155" t="str">
        <f>IF(EC21="","N/a",EC21*EH31)</f>
        <v>N/a</v>
      </c>
      <c r="EV31" s="272"/>
      <c r="EW31" s="272"/>
      <c r="EX31" s="272"/>
      <c r="EY31" s="272"/>
      <c r="EZ31" s="272"/>
      <c r="FA31" s="272"/>
      <c r="FB31" s="272"/>
      <c r="FC31" s="272"/>
      <c r="FD31" s="273"/>
    </row>
    <row r="32" spans="2:160" x14ac:dyDescent="0.25">
      <c r="B32" s="150"/>
      <c r="C32" s="151"/>
      <c r="D32" s="269" t="s">
        <v>41</v>
      </c>
      <c r="E32" s="330">
        <v>50</v>
      </c>
      <c r="F32" s="152"/>
      <c r="G32" s="270"/>
      <c r="H32" s="270"/>
      <c r="I32" s="154" t="s">
        <v>42</v>
      </c>
      <c r="J32" s="155">
        <f>IF($E$11='GWP reference values'!$C$6,J31*'GWP reference values'!$D$6/1000,IF(Calculator!$E$11='GWP reference values'!$C$7,J31*'GWP reference values'!$D$7/1000,IF($E$11='GWP reference values'!$C$8,J31*'GWP reference values'!$D$8/1000,"Error")))</f>
        <v>2.200018819215014E-2</v>
      </c>
      <c r="K32" s="270"/>
      <c r="L32" s="289"/>
      <c r="M32" s="270"/>
      <c r="N32" s="270" t="s">
        <v>43</v>
      </c>
      <c r="O32" s="270"/>
      <c r="P32" s="270"/>
      <c r="Q32" s="270"/>
      <c r="R32" s="270"/>
      <c r="S32" s="270"/>
      <c r="T32" s="271"/>
      <c r="U32" s="272"/>
      <c r="V32" s="154" t="s">
        <v>44</v>
      </c>
      <c r="W32" s="155">
        <f t="shared" si="0"/>
        <v>0.22000188192150139</v>
      </c>
      <c r="X32" s="272"/>
      <c r="Y32" s="272"/>
      <c r="Z32" s="272"/>
      <c r="AA32" s="272"/>
      <c r="AB32" s="272"/>
      <c r="AC32" s="272"/>
      <c r="AD32" s="272"/>
      <c r="AE32" s="272"/>
      <c r="AF32" s="273"/>
      <c r="AH32" s="150"/>
      <c r="AI32" s="151"/>
      <c r="AJ32" s="269" t="s">
        <v>41</v>
      </c>
      <c r="AK32" s="330">
        <v>50</v>
      </c>
      <c r="AL32" s="152"/>
      <c r="AM32" s="270"/>
      <c r="AN32" s="270"/>
      <c r="AO32" s="154" t="s">
        <v>42</v>
      </c>
      <c r="AP32" s="155">
        <f>IF($E$11='GWP reference values'!$C$6,AP31*'GWP reference values'!$D$6/1000,IF(Calculator!$E$11='GWP reference values'!$C$7,AP31*'GWP reference values'!$D$7/1000,IF($E$11='GWP reference values'!$C$8,AP31*'GWP reference values'!$D$8/1000,"Error")))</f>
        <v>4.5432721619096346E-2</v>
      </c>
      <c r="AQ32" s="270"/>
      <c r="AR32" s="289"/>
      <c r="AS32" s="270"/>
      <c r="AT32" s="270" t="s">
        <v>43</v>
      </c>
      <c r="AU32" s="270"/>
      <c r="AV32" s="270"/>
      <c r="AW32" s="270"/>
      <c r="AX32" s="270"/>
      <c r="AY32" s="270"/>
      <c r="AZ32" s="271"/>
      <c r="BA32" s="272"/>
      <c r="BB32" s="154" t="s">
        <v>44</v>
      </c>
      <c r="BC32" s="155">
        <f>IF(AK21="","N/a",AK21*AP32)</f>
        <v>0.45432721619096345</v>
      </c>
      <c r="BD32" s="272"/>
      <c r="BE32" s="272"/>
      <c r="BF32" s="272"/>
      <c r="BG32" s="272"/>
      <c r="BH32" s="272"/>
      <c r="BI32" s="272"/>
      <c r="BJ32" s="272"/>
      <c r="BK32" s="272"/>
      <c r="BL32" s="273"/>
      <c r="BN32" s="150"/>
      <c r="BO32" s="151"/>
      <c r="BP32" s="269" t="s">
        <v>41</v>
      </c>
      <c r="BQ32" s="330"/>
      <c r="BR32" s="152"/>
      <c r="BS32" s="270"/>
      <c r="BT32" s="270"/>
      <c r="BU32" s="154" t="s">
        <v>42</v>
      </c>
      <c r="BV32" s="155" t="e">
        <f>IF($E$11='GWP reference values'!$C$6,BV31*'GWP reference values'!$D$6/1000,IF(Calculator!$E$11='GWP reference values'!$C$7,BV31*'GWP reference values'!$D$7/1000,IF($E$11='GWP reference values'!$C$8,BV31*'GWP reference values'!$D$8/1000,"Error")))</f>
        <v>#VALUE!</v>
      </c>
      <c r="BW32" s="270"/>
      <c r="BX32" s="289"/>
      <c r="BY32" s="270"/>
      <c r="BZ32" s="270" t="s">
        <v>43</v>
      </c>
      <c r="CA32" s="270"/>
      <c r="CB32" s="270"/>
      <c r="CC32" s="270"/>
      <c r="CD32" s="270"/>
      <c r="CE32" s="270"/>
      <c r="CF32" s="271"/>
      <c r="CG32" s="272"/>
      <c r="CH32" s="154" t="s">
        <v>44</v>
      </c>
      <c r="CI32" s="155" t="str">
        <f>IF(BQ21="","N/a",BQ21*BV32)</f>
        <v>N/a</v>
      </c>
      <c r="CJ32" s="272"/>
      <c r="CK32" s="272"/>
      <c r="CL32" s="272"/>
      <c r="CM32" s="272"/>
      <c r="CN32" s="272"/>
      <c r="CO32" s="272"/>
      <c r="CP32" s="272"/>
      <c r="CQ32" s="272"/>
      <c r="CR32" s="273"/>
      <c r="CT32" s="150"/>
      <c r="CU32" s="151"/>
      <c r="CV32" s="269" t="s">
        <v>41</v>
      </c>
      <c r="CW32" s="330"/>
      <c r="CX32" s="152"/>
      <c r="CY32" s="270"/>
      <c r="CZ32" s="270"/>
      <c r="DA32" s="154" t="s">
        <v>42</v>
      </c>
      <c r="DB32" s="155" t="e">
        <f>IF($E$11='GWP reference values'!$C$6,DB31*'GWP reference values'!$D$6/1000,IF(Calculator!$E$11='GWP reference values'!$C$7,DB31*'GWP reference values'!$D$7/1000,IF($E$11='GWP reference values'!$C$8,DB31*'GWP reference values'!$D$8/1000,"Error")))</f>
        <v>#VALUE!</v>
      </c>
      <c r="DC32" s="270"/>
      <c r="DD32" s="289"/>
      <c r="DE32" s="270"/>
      <c r="DF32" s="270" t="s">
        <v>43</v>
      </c>
      <c r="DG32" s="270"/>
      <c r="DH32" s="270"/>
      <c r="DI32" s="270"/>
      <c r="DJ32" s="270"/>
      <c r="DK32" s="270"/>
      <c r="DL32" s="271"/>
      <c r="DM32" s="272"/>
      <c r="DN32" s="154" t="s">
        <v>44</v>
      </c>
      <c r="DO32" s="155" t="str">
        <f>IF(CW21="","N/a",CW21*DB32)</f>
        <v>N/a</v>
      </c>
      <c r="DP32" s="272"/>
      <c r="DQ32" s="272"/>
      <c r="DR32" s="272"/>
      <c r="DS32" s="272"/>
      <c r="DT32" s="272"/>
      <c r="DU32" s="272"/>
      <c r="DV32" s="272"/>
      <c r="DW32" s="272"/>
      <c r="DX32" s="273"/>
      <c r="DZ32" s="150"/>
      <c r="EA32" s="151"/>
      <c r="EB32" s="269" t="s">
        <v>41</v>
      </c>
      <c r="EC32" s="330"/>
      <c r="ED32" s="152"/>
      <c r="EE32" s="270"/>
      <c r="EF32" s="270"/>
      <c r="EG32" s="154" t="s">
        <v>42</v>
      </c>
      <c r="EH32" s="155" t="e">
        <f>IF($E$11='GWP reference values'!$C$6,EH31*'GWP reference values'!$D$6/1000,IF(Calculator!$E$11='GWP reference values'!$C$7,EH31*'GWP reference values'!$D$7/1000,IF($E$11='GWP reference values'!$C$8,EH31*'GWP reference values'!$D$8/1000,"Error")))</f>
        <v>#VALUE!</v>
      </c>
      <c r="EI32" s="270"/>
      <c r="EJ32" s="289"/>
      <c r="EK32" s="270"/>
      <c r="EL32" s="270" t="s">
        <v>43</v>
      </c>
      <c r="EM32" s="270"/>
      <c r="EN32" s="270"/>
      <c r="EO32" s="270"/>
      <c r="EP32" s="270"/>
      <c r="EQ32" s="270"/>
      <c r="ER32" s="271"/>
      <c r="ES32" s="272"/>
      <c r="ET32" s="154" t="s">
        <v>44</v>
      </c>
      <c r="EU32" s="155" t="str">
        <f>IF(EC21="","N/a",EC21*EH32)</f>
        <v>N/a</v>
      </c>
      <c r="EV32" s="272"/>
      <c r="EW32" s="272"/>
      <c r="EX32" s="272"/>
      <c r="EY32" s="272"/>
      <c r="EZ32" s="272"/>
      <c r="FA32" s="272"/>
      <c r="FB32" s="272"/>
      <c r="FC32" s="272"/>
      <c r="FD32" s="273"/>
    </row>
    <row r="33" spans="2:160" ht="15.75" thickBot="1" x14ac:dyDescent="0.3">
      <c r="B33" s="150"/>
      <c r="C33" s="151"/>
      <c r="D33" s="256" t="s">
        <v>45</v>
      </c>
      <c r="E33" s="331">
        <v>40</v>
      </c>
      <c r="F33" s="152"/>
      <c r="G33" s="270"/>
      <c r="H33" s="270"/>
      <c r="I33" s="154" t="s">
        <v>46</v>
      </c>
      <c r="J33" s="155">
        <f>IF($E$29='Category Reference Values'!$C$6,'Category Reference Values'!$F$6,IF($E$29='Category Reference Values'!$C$7,'Category Reference Values'!$F$7,IF($E$29='Category Reference Values'!$C$8,'Category Reference Values'!$F$8,IF($E$29='Category Reference Values'!$C$9,'Category Reference Values'!$F$9,IF($E$29='Category Reference Values'!$C$10,'Category Reference Values'!$F$10,IF($E$29='Category Reference Values'!$C$11,'Category Reference Values'!$F$11,"Error"))))))</f>
        <v>0</v>
      </c>
      <c r="K33" s="270"/>
      <c r="L33" s="270"/>
      <c r="M33" s="270"/>
      <c r="N33" s="270"/>
      <c r="O33" s="270"/>
      <c r="P33" s="270"/>
      <c r="Q33" s="270"/>
      <c r="R33" s="270"/>
      <c r="S33" s="270"/>
      <c r="T33" s="271"/>
      <c r="U33" s="272"/>
      <c r="V33" s="154" t="s">
        <v>47</v>
      </c>
      <c r="W33" s="155">
        <f t="shared" si="0"/>
        <v>0</v>
      </c>
      <c r="X33" s="272"/>
      <c r="Y33" s="272"/>
      <c r="Z33" s="272"/>
      <c r="AA33" s="272"/>
      <c r="AB33" s="272"/>
      <c r="AC33" s="272"/>
      <c r="AD33" s="272"/>
      <c r="AE33" s="272"/>
      <c r="AF33" s="273"/>
      <c r="AH33" s="150"/>
      <c r="AI33" s="151"/>
      <c r="AJ33" s="256" t="s">
        <v>45</v>
      </c>
      <c r="AK33" s="331">
        <v>40</v>
      </c>
      <c r="AL33" s="152"/>
      <c r="AM33" s="270"/>
      <c r="AN33" s="270"/>
      <c r="AO33" s="154" t="s">
        <v>46</v>
      </c>
      <c r="AP33" s="155">
        <f>IF(AK29='Category Reference Values'!$C$6,'Category Reference Values'!$F$6,IF(AK29='Category Reference Values'!$C$7,'Category Reference Values'!$F$7,IF(AK29='Category Reference Values'!$C$8,'Category Reference Values'!$F$8,IF(AK29='Category Reference Values'!$C$9,'Category Reference Values'!$F$9,IF(AK29='Category Reference Values'!$C$10,'Category Reference Values'!$F$10,IF(AK29='Category Reference Values'!$C$11,'Category Reference Values'!$F$11,"Error"))))))</f>
        <v>16.28</v>
      </c>
      <c r="AQ33" s="270"/>
      <c r="AR33" s="270"/>
      <c r="AS33" s="270"/>
      <c r="AT33" s="270"/>
      <c r="AU33" s="270"/>
      <c r="AV33" s="270"/>
      <c r="AW33" s="270"/>
      <c r="AX33" s="270"/>
      <c r="AY33" s="270"/>
      <c r="AZ33" s="271"/>
      <c r="BA33" s="272"/>
      <c r="BB33" s="154" t="s">
        <v>47</v>
      </c>
      <c r="BC33" s="155">
        <f>IF(AK21="","N/a",AK21*AP33)</f>
        <v>162.80000000000001</v>
      </c>
      <c r="BD33" s="272"/>
      <c r="BE33" s="272"/>
      <c r="BF33" s="272"/>
      <c r="BG33" s="272"/>
      <c r="BH33" s="272"/>
      <c r="BI33" s="272"/>
      <c r="BJ33" s="272"/>
      <c r="BK33" s="272"/>
      <c r="BL33" s="273"/>
      <c r="BN33" s="150"/>
      <c r="BO33" s="151"/>
      <c r="BP33" s="256" t="s">
        <v>45</v>
      </c>
      <c r="BQ33" s="331"/>
      <c r="BR33" s="152"/>
      <c r="BS33" s="270"/>
      <c r="BT33" s="270"/>
      <c r="BU33" s="154" t="s">
        <v>46</v>
      </c>
      <c r="BV33" s="155" t="str">
        <f>IF(BQ29='Category Reference Values'!$C$6,'Category Reference Values'!$F$6,IF(BQ29='Category Reference Values'!$C$7,'Category Reference Values'!$F$7,IF(BQ29='Category Reference Values'!$C$8,'Category Reference Values'!$F$8,IF(BQ29='Category Reference Values'!$C$9,'Category Reference Values'!$F$9,IF(BQ29='Category Reference Values'!$C$10,'Category Reference Values'!$F$10,IF(BQ29='Category Reference Values'!$C$11,'Category Reference Values'!$F$11,"Error"))))))</f>
        <v>Error</v>
      </c>
      <c r="BW33" s="270"/>
      <c r="BX33" s="270"/>
      <c r="BY33" s="270"/>
      <c r="BZ33" s="270"/>
      <c r="CA33" s="270"/>
      <c r="CB33" s="270"/>
      <c r="CC33" s="270"/>
      <c r="CD33" s="270"/>
      <c r="CE33" s="270"/>
      <c r="CF33" s="271"/>
      <c r="CG33" s="272"/>
      <c r="CH33" s="154" t="s">
        <v>47</v>
      </c>
      <c r="CI33" s="155" t="str">
        <f>IF(BQ21="","N/a",BQ21*BV33)</f>
        <v>N/a</v>
      </c>
      <c r="CJ33" s="272"/>
      <c r="CK33" s="272"/>
      <c r="CL33" s="272"/>
      <c r="CM33" s="272"/>
      <c r="CN33" s="272"/>
      <c r="CO33" s="272"/>
      <c r="CP33" s="272"/>
      <c r="CQ33" s="272"/>
      <c r="CR33" s="273"/>
      <c r="CT33" s="150"/>
      <c r="CU33" s="151"/>
      <c r="CV33" s="256" t="s">
        <v>45</v>
      </c>
      <c r="CW33" s="331"/>
      <c r="CX33" s="152"/>
      <c r="CY33" s="270"/>
      <c r="CZ33" s="270"/>
      <c r="DA33" s="154" t="s">
        <v>46</v>
      </c>
      <c r="DB33" s="155" t="str">
        <f>IF(CW29='Category Reference Values'!$C$6,'Category Reference Values'!$F$6,IF(CW29='Category Reference Values'!$C$7,'Category Reference Values'!$F$7,IF(CW29='Category Reference Values'!$C$8,'Category Reference Values'!$F$8,IF(CW29='Category Reference Values'!$C$9,'Category Reference Values'!$F$9,IF(CW29='Category Reference Values'!$C$10,'Category Reference Values'!$F$10,IF(CW29='Category Reference Values'!$C$11,'Category Reference Values'!$F$11,"Error"))))))</f>
        <v>Error</v>
      </c>
      <c r="DC33" s="270"/>
      <c r="DD33" s="270"/>
      <c r="DE33" s="270"/>
      <c r="DF33" s="270"/>
      <c r="DG33" s="270"/>
      <c r="DH33" s="270"/>
      <c r="DI33" s="270"/>
      <c r="DJ33" s="270"/>
      <c r="DK33" s="270"/>
      <c r="DL33" s="271"/>
      <c r="DM33" s="272"/>
      <c r="DN33" s="154" t="s">
        <v>47</v>
      </c>
      <c r="DO33" s="155" t="str">
        <f>IF(CW21="","N/a",CW21*DB33)</f>
        <v>N/a</v>
      </c>
      <c r="DP33" s="272"/>
      <c r="DQ33" s="272"/>
      <c r="DR33" s="272"/>
      <c r="DS33" s="272"/>
      <c r="DT33" s="272"/>
      <c r="DU33" s="272"/>
      <c r="DV33" s="272"/>
      <c r="DW33" s="272"/>
      <c r="DX33" s="273"/>
      <c r="DZ33" s="150"/>
      <c r="EA33" s="151"/>
      <c r="EB33" s="256" t="s">
        <v>45</v>
      </c>
      <c r="EC33" s="331"/>
      <c r="ED33" s="152"/>
      <c r="EE33" s="270"/>
      <c r="EF33" s="270"/>
      <c r="EG33" s="154" t="s">
        <v>46</v>
      </c>
      <c r="EH33" s="155" t="str">
        <f>IF(EC29='Category Reference Values'!$C$6,'Category Reference Values'!$F$6,IF(EC29='Category Reference Values'!$C$7,'Category Reference Values'!$F$7,IF(EC29='Category Reference Values'!$C$8,'Category Reference Values'!$F$8,IF(EC29='Category Reference Values'!$C$9,'Category Reference Values'!$F$9,IF(EC29='Category Reference Values'!$C$10,'Category Reference Values'!$F$10,IF(EC29='Category Reference Values'!$C$11,'Category Reference Values'!$F$11,"Error"))))))</f>
        <v>Error</v>
      </c>
      <c r="EI33" s="270"/>
      <c r="EJ33" s="270"/>
      <c r="EK33" s="270"/>
      <c r="EL33" s="270"/>
      <c r="EM33" s="270"/>
      <c r="EN33" s="270"/>
      <c r="EO33" s="270"/>
      <c r="EP33" s="270"/>
      <c r="EQ33" s="270"/>
      <c r="ER33" s="271"/>
      <c r="ES33" s="272"/>
      <c r="ET33" s="154" t="s">
        <v>47</v>
      </c>
      <c r="EU33" s="155" t="str">
        <f>IF(EC21="","N/a",EC21*EH33)</f>
        <v>N/a</v>
      </c>
      <c r="EV33" s="272"/>
      <c r="EW33" s="272"/>
      <c r="EX33" s="272"/>
      <c r="EY33" s="272"/>
      <c r="EZ33" s="272"/>
      <c r="FA33" s="272"/>
      <c r="FB33" s="272"/>
      <c r="FC33" s="272"/>
      <c r="FD33" s="273"/>
    </row>
    <row r="34" spans="2:160" x14ac:dyDescent="0.25">
      <c r="B34" s="150"/>
      <c r="C34" s="151"/>
      <c r="D34" s="151"/>
      <c r="E34" s="151"/>
      <c r="F34" s="152"/>
      <c r="G34" s="270"/>
      <c r="H34" s="270"/>
      <c r="I34" s="154" t="s">
        <v>48</v>
      </c>
      <c r="J34" s="155">
        <f>IF($E$11='GWP reference values'!$C$6,J33*(44/28)*'GWP reference values'!$E$6/1000,IF(Calculator!$E$11='GWP reference values'!$C$7,J33*(44/28)*'GWP reference values'!$E$7/1000,IF($E$11='GWP reference values'!$C$8,J33*(44/28)*'GWP reference values'!$E$8/1000,"Error")))</f>
        <v>0</v>
      </c>
      <c r="K34" s="270"/>
      <c r="L34" s="270"/>
      <c r="M34" s="270"/>
      <c r="N34" s="270" t="s">
        <v>49</v>
      </c>
      <c r="O34" s="270"/>
      <c r="P34" s="270"/>
      <c r="Q34" s="270"/>
      <c r="R34" s="270"/>
      <c r="S34" s="270"/>
      <c r="T34" s="271"/>
      <c r="U34" s="272"/>
      <c r="V34" s="154" t="s">
        <v>50</v>
      </c>
      <c r="W34" s="155">
        <f t="shared" si="0"/>
        <v>0</v>
      </c>
      <c r="X34" s="272"/>
      <c r="Y34" s="272"/>
      <c r="Z34" s="272"/>
      <c r="AA34" s="272"/>
      <c r="AB34" s="272"/>
      <c r="AC34" s="272"/>
      <c r="AD34" s="272"/>
      <c r="AE34" s="272"/>
      <c r="AF34" s="273"/>
      <c r="AH34" s="150"/>
      <c r="AI34" s="151"/>
      <c r="AJ34" s="151"/>
      <c r="AK34" s="151"/>
      <c r="AL34" s="152"/>
      <c r="AM34" s="270"/>
      <c r="AN34" s="270"/>
      <c r="AO34" s="154" t="s">
        <v>48</v>
      </c>
      <c r="AP34" s="155">
        <f>IF($E$11='GWP reference values'!$C$6,AP33*(44/28)*'GWP reference values'!$E$6/1000,IF(Calculator!$E$11='GWP reference values'!$C$7,AP33*(44/28)*'GWP reference values'!$E$7/1000,IF($E$11='GWP reference values'!$C$8,AP33*(44/28)*'GWP reference values'!$E$8/1000,"Error")))</f>
        <v>6.7794571428571437</v>
      </c>
      <c r="AQ34" s="270"/>
      <c r="AR34" s="270"/>
      <c r="AS34" s="270"/>
      <c r="AT34" s="270" t="s">
        <v>49</v>
      </c>
      <c r="AU34" s="270"/>
      <c r="AV34" s="270"/>
      <c r="AW34" s="270"/>
      <c r="AX34" s="270"/>
      <c r="AY34" s="270"/>
      <c r="AZ34" s="271"/>
      <c r="BA34" s="272"/>
      <c r="BB34" s="154" t="s">
        <v>50</v>
      </c>
      <c r="BC34" s="155">
        <f>IF(AK21="","N/a",AK21*AP34)</f>
        <v>67.79457142857143</v>
      </c>
      <c r="BD34" s="272"/>
      <c r="BE34" s="272"/>
      <c r="BF34" s="272"/>
      <c r="BG34" s="272"/>
      <c r="BH34" s="272"/>
      <c r="BI34" s="272"/>
      <c r="BJ34" s="272"/>
      <c r="BK34" s="272"/>
      <c r="BL34" s="273"/>
      <c r="BN34" s="150"/>
      <c r="BO34" s="151"/>
      <c r="BP34" s="151"/>
      <c r="BQ34" s="151"/>
      <c r="BR34" s="152"/>
      <c r="BS34" s="270"/>
      <c r="BT34" s="270"/>
      <c r="BU34" s="154" t="s">
        <v>48</v>
      </c>
      <c r="BV34" s="155" t="e">
        <f>IF($E$11='GWP reference values'!$C$6,BV33*(44/28)*'GWP reference values'!$E$6/1000,IF(Calculator!$E$11='GWP reference values'!$C$7,BV33*(44/28)*'GWP reference values'!$E$7/1000,IF($E$11='GWP reference values'!$C$8,BV33*(44/28)*'GWP reference values'!$E$8/1000,"Error")))</f>
        <v>#VALUE!</v>
      </c>
      <c r="BW34" s="270"/>
      <c r="BX34" s="270"/>
      <c r="BY34" s="270"/>
      <c r="BZ34" s="270" t="s">
        <v>49</v>
      </c>
      <c r="CA34" s="270"/>
      <c r="CB34" s="270"/>
      <c r="CC34" s="270"/>
      <c r="CD34" s="270"/>
      <c r="CE34" s="270"/>
      <c r="CF34" s="271"/>
      <c r="CG34" s="272"/>
      <c r="CH34" s="154" t="s">
        <v>50</v>
      </c>
      <c r="CI34" s="155" t="str">
        <f>IF(BQ21="","N/a",BQ21*BV34)</f>
        <v>N/a</v>
      </c>
      <c r="CJ34" s="272"/>
      <c r="CK34" s="272"/>
      <c r="CL34" s="272"/>
      <c r="CM34" s="272"/>
      <c r="CN34" s="272"/>
      <c r="CO34" s="272"/>
      <c r="CP34" s="272"/>
      <c r="CQ34" s="272"/>
      <c r="CR34" s="273"/>
      <c r="CT34" s="150"/>
      <c r="CU34" s="151"/>
      <c r="CV34" s="151"/>
      <c r="CW34" s="151"/>
      <c r="CX34" s="152"/>
      <c r="CY34" s="270"/>
      <c r="CZ34" s="270"/>
      <c r="DA34" s="154" t="s">
        <v>48</v>
      </c>
      <c r="DB34" s="155" t="e">
        <f>IF($E$11='GWP reference values'!$C$6,DB33*(44/28)*'GWP reference values'!$E$6/1000,IF(Calculator!$E$11='GWP reference values'!$C$7,DB33*(44/28)*'GWP reference values'!$E$7/1000,IF($E$11='GWP reference values'!$C$8,DB33*(44/28)*'GWP reference values'!$E$8/1000,"Error")))</f>
        <v>#VALUE!</v>
      </c>
      <c r="DC34" s="270"/>
      <c r="DD34" s="270"/>
      <c r="DE34" s="270"/>
      <c r="DF34" s="270" t="s">
        <v>49</v>
      </c>
      <c r="DG34" s="270"/>
      <c r="DH34" s="270"/>
      <c r="DI34" s="270"/>
      <c r="DJ34" s="270"/>
      <c r="DK34" s="270"/>
      <c r="DL34" s="271"/>
      <c r="DM34" s="272"/>
      <c r="DN34" s="154" t="s">
        <v>50</v>
      </c>
      <c r="DO34" s="155" t="str">
        <f>IF(CW21="","N/a",CW21*DB34)</f>
        <v>N/a</v>
      </c>
      <c r="DP34" s="272"/>
      <c r="DQ34" s="272"/>
      <c r="DR34" s="272"/>
      <c r="DS34" s="272"/>
      <c r="DT34" s="272"/>
      <c r="DU34" s="272"/>
      <c r="DV34" s="272"/>
      <c r="DW34" s="272"/>
      <c r="DX34" s="273"/>
      <c r="DZ34" s="150"/>
      <c r="EA34" s="151"/>
      <c r="EB34" s="151"/>
      <c r="EC34" s="151"/>
      <c r="ED34" s="152"/>
      <c r="EE34" s="270"/>
      <c r="EF34" s="270"/>
      <c r="EG34" s="154" t="s">
        <v>48</v>
      </c>
      <c r="EH34" s="155" t="e">
        <f>IF($E$11='GWP reference values'!$C$6,EH33*(44/28)*'GWP reference values'!$E$6/1000,IF(Calculator!$E$11='GWP reference values'!$C$7,EH33*(44/28)*'GWP reference values'!$E$7/1000,IF($E$11='GWP reference values'!$C$8,EH33*(44/28)*'GWP reference values'!$E$8/1000,"Error")))</f>
        <v>#VALUE!</v>
      </c>
      <c r="EI34" s="270"/>
      <c r="EJ34" s="270"/>
      <c r="EK34" s="270"/>
      <c r="EL34" s="270" t="s">
        <v>49</v>
      </c>
      <c r="EM34" s="270"/>
      <c r="EN34" s="270"/>
      <c r="EO34" s="270"/>
      <c r="EP34" s="270"/>
      <c r="EQ34" s="270"/>
      <c r="ER34" s="271"/>
      <c r="ES34" s="272"/>
      <c r="ET34" s="154" t="s">
        <v>50</v>
      </c>
      <c r="EU34" s="155" t="str">
        <f>IF(EC21="","N/a",EC21*EH34)</f>
        <v>N/a</v>
      </c>
      <c r="EV34" s="272"/>
      <c r="EW34" s="272"/>
      <c r="EX34" s="272"/>
      <c r="EY34" s="272"/>
      <c r="EZ34" s="272"/>
      <c r="FA34" s="272"/>
      <c r="FB34" s="272"/>
      <c r="FC34" s="272"/>
      <c r="FD34" s="273"/>
    </row>
    <row r="35" spans="2:160" ht="15.75" thickBot="1" x14ac:dyDescent="0.3">
      <c r="B35" s="150"/>
      <c r="C35" s="151"/>
      <c r="D35" s="151"/>
      <c r="E35" s="151"/>
      <c r="F35" s="152"/>
      <c r="G35" s="270"/>
      <c r="H35" s="270"/>
      <c r="I35" s="154" t="s">
        <v>51</v>
      </c>
      <c r="J35" s="155">
        <f>SUM(J30,J32)</f>
        <v>13.346666854858817</v>
      </c>
      <c r="K35" s="270"/>
      <c r="L35" s="270"/>
      <c r="M35" s="270"/>
      <c r="N35" s="270"/>
      <c r="O35" s="270"/>
      <c r="P35" s="270"/>
      <c r="Q35" s="270"/>
      <c r="R35" s="270"/>
      <c r="S35" s="270"/>
      <c r="T35" s="271"/>
      <c r="U35" s="272"/>
      <c r="V35" s="154" t="s">
        <v>52</v>
      </c>
      <c r="W35" s="155">
        <f t="shared" si="0"/>
        <v>133.46666854858819</v>
      </c>
      <c r="X35" s="272"/>
      <c r="Y35" s="272"/>
      <c r="Z35" s="272"/>
      <c r="AA35" s="272"/>
      <c r="AB35" s="272"/>
      <c r="AC35" s="272"/>
      <c r="AD35" s="272"/>
      <c r="AE35" s="272"/>
      <c r="AF35" s="273"/>
      <c r="AH35" s="150"/>
      <c r="AI35" s="151"/>
      <c r="AJ35" s="151"/>
      <c r="AK35" s="151"/>
      <c r="AL35" s="152"/>
      <c r="AM35" s="270"/>
      <c r="AN35" s="270"/>
      <c r="AO35" s="154" t="s">
        <v>51</v>
      </c>
      <c r="AP35" s="155">
        <f>SUM(AP30,AP32)</f>
        <v>13.370099388285764</v>
      </c>
      <c r="AQ35" s="270"/>
      <c r="AR35" s="270"/>
      <c r="AS35" s="270"/>
      <c r="AT35" s="270"/>
      <c r="AU35" s="270"/>
      <c r="AV35" s="270"/>
      <c r="AW35" s="270"/>
      <c r="AX35" s="270"/>
      <c r="AY35" s="270"/>
      <c r="AZ35" s="271"/>
      <c r="BA35" s="272"/>
      <c r="BB35" s="154" t="s">
        <v>52</v>
      </c>
      <c r="BC35" s="155">
        <f>IF(AK21="","N/a",AK21*AP35)</f>
        <v>133.70099388285763</v>
      </c>
      <c r="BD35" s="272"/>
      <c r="BE35" s="272"/>
      <c r="BF35" s="272"/>
      <c r="BG35" s="272"/>
      <c r="BH35" s="272"/>
      <c r="BI35" s="272"/>
      <c r="BJ35" s="272"/>
      <c r="BK35" s="272"/>
      <c r="BL35" s="273"/>
      <c r="BN35" s="150"/>
      <c r="BO35" s="151"/>
      <c r="BP35" s="151"/>
      <c r="BQ35" s="151"/>
      <c r="BR35" s="152"/>
      <c r="BS35" s="270"/>
      <c r="BT35" s="270"/>
      <c r="BU35" s="154" t="s">
        <v>51</v>
      </c>
      <c r="BV35" s="155" t="e">
        <f>SUM(BV30,BV32)</f>
        <v>#VALUE!</v>
      </c>
      <c r="BW35" s="270"/>
      <c r="BX35" s="270"/>
      <c r="BY35" s="270"/>
      <c r="BZ35" s="270"/>
      <c r="CA35" s="270"/>
      <c r="CB35" s="270"/>
      <c r="CC35" s="270"/>
      <c r="CD35" s="270"/>
      <c r="CE35" s="270"/>
      <c r="CF35" s="271"/>
      <c r="CG35" s="272"/>
      <c r="CH35" s="154" t="s">
        <v>52</v>
      </c>
      <c r="CI35" s="155" t="str">
        <f>IF(BQ21="","N/a",BQ21*BV35)</f>
        <v>N/a</v>
      </c>
      <c r="CJ35" s="272"/>
      <c r="CK35" s="272"/>
      <c r="CL35" s="272"/>
      <c r="CM35" s="272"/>
      <c r="CN35" s="272"/>
      <c r="CO35" s="272"/>
      <c r="CP35" s="272"/>
      <c r="CQ35" s="272"/>
      <c r="CR35" s="273"/>
      <c r="CT35" s="150"/>
      <c r="CU35" s="151"/>
      <c r="CV35" s="151"/>
      <c r="CW35" s="151"/>
      <c r="CX35" s="152"/>
      <c r="CY35" s="270"/>
      <c r="CZ35" s="270"/>
      <c r="DA35" s="154" t="s">
        <v>51</v>
      </c>
      <c r="DB35" s="155" t="e">
        <f>SUM(DB30,DB32)</f>
        <v>#VALUE!</v>
      </c>
      <c r="DC35" s="270"/>
      <c r="DD35" s="270"/>
      <c r="DE35" s="270"/>
      <c r="DF35" s="270"/>
      <c r="DG35" s="270"/>
      <c r="DH35" s="270"/>
      <c r="DI35" s="270"/>
      <c r="DJ35" s="270"/>
      <c r="DK35" s="270"/>
      <c r="DL35" s="271"/>
      <c r="DM35" s="272"/>
      <c r="DN35" s="154" t="s">
        <v>52</v>
      </c>
      <c r="DO35" s="155" t="str">
        <f>IF(CW21="","N/a",CW21*DB35)</f>
        <v>N/a</v>
      </c>
      <c r="DP35" s="272"/>
      <c r="DQ35" s="272"/>
      <c r="DR35" s="272"/>
      <c r="DS35" s="272"/>
      <c r="DT35" s="272"/>
      <c r="DU35" s="272"/>
      <c r="DV35" s="272"/>
      <c r="DW35" s="272"/>
      <c r="DX35" s="273"/>
      <c r="DZ35" s="150"/>
      <c r="EA35" s="151"/>
      <c r="EB35" s="151"/>
      <c r="EC35" s="151"/>
      <c r="ED35" s="152"/>
      <c r="EE35" s="270"/>
      <c r="EF35" s="270"/>
      <c r="EG35" s="154" t="s">
        <v>51</v>
      </c>
      <c r="EH35" s="155" t="e">
        <f>SUM(EH30,EH32)</f>
        <v>#VALUE!</v>
      </c>
      <c r="EI35" s="270"/>
      <c r="EJ35" s="270"/>
      <c r="EK35" s="270"/>
      <c r="EL35" s="270"/>
      <c r="EM35" s="270"/>
      <c r="EN35" s="270"/>
      <c r="EO35" s="270"/>
      <c r="EP35" s="270"/>
      <c r="EQ35" s="270"/>
      <c r="ER35" s="271"/>
      <c r="ES35" s="272"/>
      <c r="ET35" s="154" t="s">
        <v>52</v>
      </c>
      <c r="EU35" s="155" t="str">
        <f>IF(EC21="","N/a",EC21*EH35)</f>
        <v>N/a</v>
      </c>
      <c r="EV35" s="272"/>
      <c r="EW35" s="272"/>
      <c r="EX35" s="272"/>
      <c r="EY35" s="272"/>
      <c r="EZ35" s="272"/>
      <c r="FA35" s="272"/>
      <c r="FB35" s="272"/>
      <c r="FC35" s="272"/>
      <c r="FD35" s="273"/>
    </row>
    <row r="36" spans="2:160" ht="21.75" thickBot="1" x14ac:dyDescent="0.4">
      <c r="B36" s="150"/>
      <c r="C36" s="151"/>
      <c r="D36" s="151"/>
      <c r="E36" s="151"/>
      <c r="F36" s="152"/>
      <c r="G36" s="270"/>
      <c r="H36" s="270"/>
      <c r="I36" s="160" t="s">
        <v>53</v>
      </c>
      <c r="J36" s="161">
        <f>SUM(J30,J32,J34)</f>
        <v>13.346666854858817</v>
      </c>
      <c r="K36" s="274" t="s">
        <v>54</v>
      </c>
      <c r="L36" s="270"/>
      <c r="M36" s="270"/>
      <c r="N36" s="270" t="s">
        <v>55</v>
      </c>
      <c r="O36" s="270"/>
      <c r="P36" s="270"/>
      <c r="Q36" s="270"/>
      <c r="R36" s="270"/>
      <c r="S36" s="270"/>
      <c r="T36" s="271"/>
      <c r="U36" s="272"/>
      <c r="V36" s="160" t="s">
        <v>56</v>
      </c>
      <c r="W36" s="161">
        <f t="shared" si="0"/>
        <v>133.46666854858819</v>
      </c>
      <c r="X36" s="275" t="s">
        <v>54</v>
      </c>
      <c r="Y36" s="272"/>
      <c r="Z36" s="272"/>
      <c r="AA36" s="272"/>
      <c r="AB36" s="272"/>
      <c r="AC36" s="272"/>
      <c r="AD36" s="272"/>
      <c r="AE36" s="272"/>
      <c r="AF36" s="273"/>
      <c r="AH36" s="150"/>
      <c r="AI36" s="151"/>
      <c r="AJ36" s="151"/>
      <c r="AK36" s="151"/>
      <c r="AL36" s="152"/>
      <c r="AM36" s="270"/>
      <c r="AN36" s="270"/>
      <c r="AO36" s="160" t="s">
        <v>53</v>
      </c>
      <c r="AP36" s="161">
        <f>SUM(AP30,AP32,AP34)</f>
        <v>20.149556531142906</v>
      </c>
      <c r="AQ36" s="274" t="s">
        <v>54</v>
      </c>
      <c r="AR36" s="270"/>
      <c r="AS36" s="270"/>
      <c r="AT36" s="270" t="s">
        <v>55</v>
      </c>
      <c r="AU36" s="270"/>
      <c r="AV36" s="270"/>
      <c r="AW36" s="270"/>
      <c r="AX36" s="270"/>
      <c r="AY36" s="270"/>
      <c r="AZ36" s="271"/>
      <c r="BA36" s="272"/>
      <c r="BB36" s="160" t="s">
        <v>56</v>
      </c>
      <c r="BC36" s="161">
        <f>IF(AK21="","N/a",AK21*AP36)</f>
        <v>201.49556531142906</v>
      </c>
      <c r="BD36" s="275" t="s">
        <v>54</v>
      </c>
      <c r="BE36" s="272"/>
      <c r="BF36" s="272"/>
      <c r="BG36" s="272"/>
      <c r="BH36" s="272"/>
      <c r="BI36" s="272"/>
      <c r="BJ36" s="272"/>
      <c r="BK36" s="272"/>
      <c r="BL36" s="273"/>
      <c r="BN36" s="150"/>
      <c r="BO36" s="151"/>
      <c r="BP36" s="151"/>
      <c r="BQ36" s="151"/>
      <c r="BR36" s="152"/>
      <c r="BS36" s="270"/>
      <c r="BT36" s="270"/>
      <c r="BU36" s="160" t="s">
        <v>53</v>
      </c>
      <c r="BV36" s="161" t="e">
        <f>SUM(BV30,BV32,BV34)</f>
        <v>#VALUE!</v>
      </c>
      <c r="BW36" s="274" t="s">
        <v>54</v>
      </c>
      <c r="BX36" s="270"/>
      <c r="BY36" s="270"/>
      <c r="BZ36" s="270" t="s">
        <v>55</v>
      </c>
      <c r="CA36" s="270"/>
      <c r="CB36" s="270"/>
      <c r="CC36" s="270"/>
      <c r="CD36" s="270"/>
      <c r="CE36" s="270"/>
      <c r="CF36" s="271"/>
      <c r="CG36" s="272"/>
      <c r="CH36" s="160" t="s">
        <v>56</v>
      </c>
      <c r="CI36" s="161" t="str">
        <f>IF(BQ21="","N/a",BQ21*BV36)</f>
        <v>N/a</v>
      </c>
      <c r="CJ36" s="275" t="s">
        <v>54</v>
      </c>
      <c r="CK36" s="272"/>
      <c r="CL36" s="272"/>
      <c r="CM36" s="272"/>
      <c r="CN36" s="272"/>
      <c r="CO36" s="272"/>
      <c r="CP36" s="272"/>
      <c r="CQ36" s="272"/>
      <c r="CR36" s="273"/>
      <c r="CT36" s="150"/>
      <c r="CU36" s="151"/>
      <c r="CV36" s="151"/>
      <c r="CW36" s="151"/>
      <c r="CX36" s="152"/>
      <c r="CY36" s="270"/>
      <c r="CZ36" s="270"/>
      <c r="DA36" s="160" t="s">
        <v>53</v>
      </c>
      <c r="DB36" s="161" t="e">
        <f>SUM(DB30,DB32,DB34)</f>
        <v>#VALUE!</v>
      </c>
      <c r="DC36" s="274" t="s">
        <v>54</v>
      </c>
      <c r="DD36" s="270"/>
      <c r="DE36" s="270"/>
      <c r="DF36" s="270" t="s">
        <v>55</v>
      </c>
      <c r="DG36" s="270"/>
      <c r="DH36" s="270"/>
      <c r="DI36" s="270"/>
      <c r="DJ36" s="270"/>
      <c r="DK36" s="270"/>
      <c r="DL36" s="271"/>
      <c r="DM36" s="272"/>
      <c r="DN36" s="160" t="s">
        <v>56</v>
      </c>
      <c r="DO36" s="161" t="str">
        <f>IF(CW21="","N/a",CW21*DB36)</f>
        <v>N/a</v>
      </c>
      <c r="DP36" s="275" t="s">
        <v>54</v>
      </c>
      <c r="DQ36" s="272"/>
      <c r="DR36" s="272"/>
      <c r="DS36" s="272"/>
      <c r="DT36" s="272"/>
      <c r="DU36" s="272"/>
      <c r="DV36" s="272"/>
      <c r="DW36" s="272"/>
      <c r="DX36" s="273"/>
      <c r="DZ36" s="150"/>
      <c r="EA36" s="151"/>
      <c r="EB36" s="151"/>
      <c r="EC36" s="151"/>
      <c r="ED36" s="152"/>
      <c r="EE36" s="270"/>
      <c r="EF36" s="270"/>
      <c r="EG36" s="160" t="s">
        <v>53</v>
      </c>
      <c r="EH36" s="161" t="e">
        <f>SUM(EH30,EH32,EH34)</f>
        <v>#VALUE!</v>
      </c>
      <c r="EI36" s="274" t="s">
        <v>54</v>
      </c>
      <c r="EJ36" s="270"/>
      <c r="EK36" s="270"/>
      <c r="EL36" s="270" t="s">
        <v>55</v>
      </c>
      <c r="EM36" s="270"/>
      <c r="EN36" s="270"/>
      <c r="EO36" s="270"/>
      <c r="EP36" s="270"/>
      <c r="EQ36" s="270"/>
      <c r="ER36" s="271"/>
      <c r="ES36" s="272"/>
      <c r="ET36" s="160" t="s">
        <v>56</v>
      </c>
      <c r="EU36" s="161" t="str">
        <f>IF(EC21="","N/a",EC21*EH36)</f>
        <v>N/a</v>
      </c>
      <c r="EV36" s="275" t="s">
        <v>54</v>
      </c>
      <c r="EW36" s="272"/>
      <c r="EX36" s="272"/>
      <c r="EY36" s="272"/>
      <c r="EZ36" s="272"/>
      <c r="FA36" s="272"/>
      <c r="FB36" s="272"/>
      <c r="FC36" s="272"/>
      <c r="FD36" s="273"/>
    </row>
    <row r="37" spans="2:160" ht="15.75" thickBot="1" x14ac:dyDescent="0.3">
      <c r="B37" s="164"/>
      <c r="C37" s="165"/>
      <c r="D37" s="165"/>
      <c r="E37" s="165"/>
      <c r="F37" s="166"/>
      <c r="G37" s="276"/>
      <c r="H37" s="276"/>
      <c r="I37" s="276"/>
      <c r="J37" s="276"/>
      <c r="K37" s="276"/>
      <c r="L37" s="276"/>
      <c r="M37" s="276"/>
      <c r="N37" s="276"/>
      <c r="O37" s="276"/>
      <c r="P37" s="276"/>
      <c r="Q37" s="276"/>
      <c r="R37" s="276"/>
      <c r="S37" s="276"/>
      <c r="T37" s="271"/>
      <c r="U37" s="272"/>
      <c r="V37" s="272"/>
      <c r="W37" s="272"/>
      <c r="X37" s="272"/>
      <c r="Y37" s="272"/>
      <c r="Z37" s="272"/>
      <c r="AA37" s="272"/>
      <c r="AB37" s="272"/>
      <c r="AC37" s="272"/>
      <c r="AD37" s="272"/>
      <c r="AE37" s="272"/>
      <c r="AF37" s="273"/>
      <c r="AH37" s="164"/>
      <c r="AI37" s="165"/>
      <c r="AJ37" s="165"/>
      <c r="AK37" s="165"/>
      <c r="AL37" s="166"/>
      <c r="AM37" s="276"/>
      <c r="AN37" s="276"/>
      <c r="AO37" s="276"/>
      <c r="AP37" s="276"/>
      <c r="AQ37" s="276"/>
      <c r="AR37" s="276"/>
      <c r="AS37" s="276"/>
      <c r="AT37" s="276"/>
      <c r="AU37" s="276"/>
      <c r="AV37" s="276"/>
      <c r="AW37" s="276"/>
      <c r="AX37" s="276"/>
      <c r="AY37" s="276"/>
      <c r="AZ37" s="271"/>
      <c r="BA37" s="272"/>
      <c r="BB37" s="272"/>
      <c r="BC37" s="272"/>
      <c r="BD37" s="272"/>
      <c r="BE37" s="272"/>
      <c r="BF37" s="272"/>
      <c r="BG37" s="272"/>
      <c r="BH37" s="272"/>
      <c r="BI37" s="272"/>
      <c r="BJ37" s="272"/>
      <c r="BK37" s="272"/>
      <c r="BL37" s="273"/>
      <c r="BN37" s="164"/>
      <c r="BO37" s="165"/>
      <c r="BP37" s="165"/>
      <c r="BQ37" s="165"/>
      <c r="BR37" s="166"/>
      <c r="BS37" s="276"/>
      <c r="BT37" s="276"/>
      <c r="BU37" s="276"/>
      <c r="BV37" s="276"/>
      <c r="BW37" s="276"/>
      <c r="BX37" s="276"/>
      <c r="BY37" s="276"/>
      <c r="BZ37" s="276"/>
      <c r="CA37" s="276"/>
      <c r="CB37" s="276"/>
      <c r="CC37" s="276"/>
      <c r="CD37" s="276"/>
      <c r="CE37" s="276"/>
      <c r="CF37" s="271"/>
      <c r="CG37" s="272"/>
      <c r="CH37" s="272"/>
      <c r="CI37" s="272"/>
      <c r="CJ37" s="272"/>
      <c r="CK37" s="272"/>
      <c r="CL37" s="272"/>
      <c r="CM37" s="272"/>
      <c r="CN37" s="272"/>
      <c r="CO37" s="272"/>
      <c r="CP37" s="272"/>
      <c r="CQ37" s="272"/>
      <c r="CR37" s="273"/>
      <c r="CT37" s="164"/>
      <c r="CU37" s="165"/>
      <c r="CV37" s="165"/>
      <c r="CW37" s="165"/>
      <c r="CX37" s="166"/>
      <c r="CY37" s="276"/>
      <c r="CZ37" s="276"/>
      <c r="DA37" s="276"/>
      <c r="DB37" s="276"/>
      <c r="DC37" s="276"/>
      <c r="DD37" s="276"/>
      <c r="DE37" s="276"/>
      <c r="DF37" s="276"/>
      <c r="DG37" s="276"/>
      <c r="DH37" s="276"/>
      <c r="DI37" s="276"/>
      <c r="DJ37" s="276"/>
      <c r="DK37" s="276"/>
      <c r="DL37" s="271"/>
      <c r="DM37" s="272"/>
      <c r="DN37" s="272"/>
      <c r="DO37" s="272"/>
      <c r="DP37" s="272"/>
      <c r="DQ37" s="272"/>
      <c r="DR37" s="272"/>
      <c r="DS37" s="272"/>
      <c r="DT37" s="272"/>
      <c r="DU37" s="272"/>
      <c r="DV37" s="272"/>
      <c r="DW37" s="272"/>
      <c r="DX37" s="273"/>
      <c r="DZ37" s="164"/>
      <c r="EA37" s="165"/>
      <c r="EB37" s="165"/>
      <c r="EC37" s="165"/>
      <c r="ED37" s="166"/>
      <c r="EE37" s="276"/>
      <c r="EF37" s="276"/>
      <c r="EG37" s="276"/>
      <c r="EH37" s="276"/>
      <c r="EI37" s="276"/>
      <c r="EJ37" s="276"/>
      <c r="EK37" s="276"/>
      <c r="EL37" s="276"/>
      <c r="EM37" s="276"/>
      <c r="EN37" s="276"/>
      <c r="EO37" s="276"/>
      <c r="EP37" s="276"/>
      <c r="EQ37" s="276"/>
      <c r="ER37" s="271"/>
      <c r="ES37" s="272"/>
      <c r="ET37" s="272"/>
      <c r="EU37" s="272"/>
      <c r="EV37" s="272"/>
      <c r="EW37" s="272"/>
      <c r="EX37" s="272"/>
      <c r="EY37" s="272"/>
      <c r="EZ37" s="272"/>
      <c r="FA37" s="272"/>
      <c r="FB37" s="272"/>
      <c r="FC37" s="272"/>
      <c r="FD37" s="273"/>
    </row>
    <row r="38" spans="2:160" ht="15.75" thickBot="1" x14ac:dyDescent="0.3">
      <c r="B38" s="277"/>
      <c r="C38" s="278"/>
      <c r="D38" s="278"/>
      <c r="E38" s="278"/>
      <c r="F38" s="279"/>
      <c r="G38" s="280"/>
      <c r="H38" s="280"/>
      <c r="I38" s="280"/>
      <c r="J38" s="280"/>
      <c r="K38" s="280"/>
      <c r="L38" s="280"/>
      <c r="M38" s="280"/>
      <c r="N38" s="280"/>
      <c r="O38" s="280"/>
      <c r="P38" s="280"/>
      <c r="Q38" s="280"/>
      <c r="R38" s="280"/>
      <c r="S38" s="280"/>
      <c r="T38" s="281"/>
      <c r="U38" s="282"/>
      <c r="V38" s="282"/>
      <c r="W38" s="282"/>
      <c r="X38" s="282"/>
      <c r="Y38" s="282"/>
      <c r="Z38" s="282"/>
      <c r="AA38" s="282"/>
      <c r="AB38" s="282"/>
      <c r="AC38" s="282"/>
      <c r="AD38" s="282"/>
      <c r="AE38" s="282"/>
      <c r="AF38" s="283"/>
      <c r="AH38" s="277"/>
      <c r="AI38" s="278"/>
      <c r="AJ38" s="278"/>
      <c r="AK38" s="278"/>
      <c r="AL38" s="279"/>
      <c r="AM38" s="280"/>
      <c r="AN38" s="280"/>
      <c r="AO38" s="280"/>
      <c r="AP38" s="280"/>
      <c r="AQ38" s="280"/>
      <c r="AR38" s="280"/>
      <c r="AS38" s="280"/>
      <c r="AT38" s="280"/>
      <c r="AU38" s="280"/>
      <c r="AV38" s="280"/>
      <c r="AW38" s="280"/>
      <c r="AX38" s="280"/>
      <c r="AY38" s="280"/>
      <c r="AZ38" s="281"/>
      <c r="BA38" s="282"/>
      <c r="BB38" s="282"/>
      <c r="BC38" s="282"/>
      <c r="BD38" s="282"/>
      <c r="BE38" s="282"/>
      <c r="BF38" s="282"/>
      <c r="BG38" s="282"/>
      <c r="BH38" s="282"/>
      <c r="BI38" s="282"/>
      <c r="BJ38" s="282"/>
      <c r="BK38" s="282"/>
      <c r="BL38" s="283"/>
      <c r="BN38" s="277"/>
      <c r="BO38" s="278"/>
      <c r="BP38" s="278"/>
      <c r="BQ38" s="278"/>
      <c r="BR38" s="279"/>
      <c r="BS38" s="280"/>
      <c r="BT38" s="280"/>
      <c r="BU38" s="280"/>
      <c r="BV38" s="280"/>
      <c r="BW38" s="280"/>
      <c r="BX38" s="280"/>
      <c r="BY38" s="280"/>
      <c r="BZ38" s="280"/>
      <c r="CA38" s="280"/>
      <c r="CB38" s="280"/>
      <c r="CC38" s="280"/>
      <c r="CD38" s="280"/>
      <c r="CE38" s="280"/>
      <c r="CF38" s="281"/>
      <c r="CG38" s="282"/>
      <c r="CH38" s="282"/>
      <c r="CI38" s="282"/>
      <c r="CJ38" s="282"/>
      <c r="CK38" s="282"/>
      <c r="CL38" s="282"/>
      <c r="CM38" s="282"/>
      <c r="CN38" s="282"/>
      <c r="CO38" s="282"/>
      <c r="CP38" s="282"/>
      <c r="CQ38" s="282"/>
      <c r="CR38" s="283"/>
      <c r="CT38" s="277"/>
      <c r="CU38" s="278"/>
      <c r="CV38" s="278"/>
      <c r="CW38" s="278"/>
      <c r="CX38" s="279"/>
      <c r="CY38" s="280"/>
      <c r="CZ38" s="280"/>
      <c r="DA38" s="280"/>
      <c r="DB38" s="280"/>
      <c r="DC38" s="280"/>
      <c r="DD38" s="280"/>
      <c r="DE38" s="280"/>
      <c r="DF38" s="280"/>
      <c r="DG38" s="280"/>
      <c r="DH38" s="280"/>
      <c r="DI38" s="280"/>
      <c r="DJ38" s="280"/>
      <c r="DK38" s="280"/>
      <c r="DL38" s="281"/>
      <c r="DM38" s="282"/>
      <c r="DN38" s="282"/>
      <c r="DO38" s="282"/>
      <c r="DP38" s="282"/>
      <c r="DQ38" s="282"/>
      <c r="DR38" s="282"/>
      <c r="DS38" s="282"/>
      <c r="DT38" s="282"/>
      <c r="DU38" s="282"/>
      <c r="DV38" s="282"/>
      <c r="DW38" s="282"/>
      <c r="DX38" s="283"/>
      <c r="DZ38" s="277"/>
      <c r="EA38" s="278"/>
      <c r="EB38" s="278"/>
      <c r="EC38" s="278"/>
      <c r="ED38" s="279"/>
      <c r="EE38" s="280"/>
      <c r="EF38" s="280"/>
      <c r="EG38" s="280"/>
      <c r="EH38" s="280"/>
      <c r="EI38" s="280"/>
      <c r="EJ38" s="280"/>
      <c r="EK38" s="280"/>
      <c r="EL38" s="280"/>
      <c r="EM38" s="280"/>
      <c r="EN38" s="280"/>
      <c r="EO38" s="280"/>
      <c r="EP38" s="280"/>
      <c r="EQ38" s="280"/>
      <c r="ER38" s="281"/>
      <c r="ES38" s="282"/>
      <c r="ET38" s="282"/>
      <c r="EU38" s="282"/>
      <c r="EV38" s="282"/>
      <c r="EW38" s="282"/>
      <c r="EX38" s="282"/>
      <c r="EY38" s="282"/>
      <c r="EZ38" s="282"/>
      <c r="FA38" s="282"/>
      <c r="FB38" s="282"/>
      <c r="FC38" s="282"/>
      <c r="FD38" s="283"/>
    </row>
    <row r="39" spans="2:160" ht="21.75" thickBot="1" x14ac:dyDescent="0.4">
      <c r="B39" s="150"/>
      <c r="C39" s="151"/>
      <c r="D39" s="374" t="s">
        <v>57</v>
      </c>
      <c r="E39" s="375"/>
      <c r="F39" s="284" t="s">
        <v>26</v>
      </c>
      <c r="G39" s="285" t="s">
        <v>27</v>
      </c>
      <c r="H39" s="285"/>
      <c r="I39" s="374" t="s">
        <v>58</v>
      </c>
      <c r="J39" s="375"/>
      <c r="K39" s="153"/>
      <c r="L39" s="153"/>
      <c r="M39" s="153"/>
      <c r="N39" s="153"/>
      <c r="O39" s="153"/>
      <c r="P39" s="153"/>
      <c r="Q39" s="153"/>
      <c r="R39" s="162" t="s">
        <v>29</v>
      </c>
      <c r="S39" s="153"/>
      <c r="T39" s="286" t="s">
        <v>29</v>
      </c>
      <c r="U39" s="287"/>
      <c r="V39" s="374" t="str">
        <f>IF($E$16="","Final annual emissions (AU area)",CONCATENATE("Final annual emissions (",$E$16," ha)"))</f>
        <v>Final annual emissions (10 ha)</v>
      </c>
      <c r="W39" s="375"/>
      <c r="X39" s="287"/>
      <c r="Y39" s="157"/>
      <c r="Z39" s="157"/>
      <c r="AA39" s="157"/>
      <c r="AB39" s="157"/>
      <c r="AC39" s="157"/>
      <c r="AD39" s="157"/>
      <c r="AE39" s="157"/>
      <c r="AF39" s="158"/>
      <c r="AH39" s="150"/>
      <c r="AI39" s="151"/>
      <c r="AJ39" s="374" t="s">
        <v>57</v>
      </c>
      <c r="AK39" s="375"/>
      <c r="AL39" s="284" t="s">
        <v>26</v>
      </c>
      <c r="AM39" s="285" t="s">
        <v>27</v>
      </c>
      <c r="AN39" s="285"/>
      <c r="AO39" s="374" t="s">
        <v>58</v>
      </c>
      <c r="AP39" s="375"/>
      <c r="AQ39" s="153"/>
      <c r="AR39" s="153"/>
      <c r="AS39" s="153"/>
      <c r="AT39" s="153"/>
      <c r="AU39" s="153"/>
      <c r="AV39" s="153"/>
      <c r="AW39" s="153"/>
      <c r="AX39" s="162" t="s">
        <v>29</v>
      </c>
      <c r="AY39" s="153"/>
      <c r="AZ39" s="286" t="s">
        <v>29</v>
      </c>
      <c r="BA39" s="287"/>
      <c r="BB39" s="374" t="str">
        <f>IF(AK21="","Final annual emissions (AU area)",CONCATENATE("Final annual emissions (",AK21," ha)"))</f>
        <v>Final annual emissions (10 ha)</v>
      </c>
      <c r="BC39" s="375"/>
      <c r="BD39" s="287"/>
      <c r="BE39" s="157"/>
      <c r="BF39" s="157"/>
      <c r="BG39" s="157"/>
      <c r="BH39" s="157"/>
      <c r="BI39" s="157"/>
      <c r="BJ39" s="157"/>
      <c r="BK39" s="157"/>
      <c r="BL39" s="158"/>
      <c r="BN39" s="150"/>
      <c r="BO39" s="151"/>
      <c r="BP39" s="374" t="s">
        <v>57</v>
      </c>
      <c r="BQ39" s="375"/>
      <c r="BR39" s="284" t="s">
        <v>26</v>
      </c>
      <c r="BS39" s="285" t="s">
        <v>27</v>
      </c>
      <c r="BT39" s="285"/>
      <c r="BU39" s="374" t="s">
        <v>58</v>
      </c>
      <c r="BV39" s="375"/>
      <c r="BW39" s="153"/>
      <c r="BX39" s="153"/>
      <c r="BY39" s="153"/>
      <c r="BZ39" s="153"/>
      <c r="CA39" s="153"/>
      <c r="CB39" s="153"/>
      <c r="CC39" s="153"/>
      <c r="CD39" s="162" t="s">
        <v>29</v>
      </c>
      <c r="CE39" s="153"/>
      <c r="CF39" s="286" t="s">
        <v>29</v>
      </c>
      <c r="CG39" s="287"/>
      <c r="CH39" s="374" t="str">
        <f>IF(BQ21="","Final annual emissions (AU area)",CONCATENATE("Final annual emissions (",BQ21," ha)"))</f>
        <v>Final annual emissions (AU area)</v>
      </c>
      <c r="CI39" s="375"/>
      <c r="CJ39" s="287"/>
      <c r="CK39" s="157"/>
      <c r="CL39" s="157"/>
      <c r="CM39" s="157"/>
      <c r="CN39" s="157"/>
      <c r="CO39" s="157"/>
      <c r="CP39" s="157"/>
      <c r="CQ39" s="157"/>
      <c r="CR39" s="158"/>
      <c r="CT39" s="150"/>
      <c r="CU39" s="151"/>
      <c r="CV39" s="374" t="s">
        <v>57</v>
      </c>
      <c r="CW39" s="375"/>
      <c r="CX39" s="284" t="s">
        <v>26</v>
      </c>
      <c r="CY39" s="285" t="s">
        <v>27</v>
      </c>
      <c r="CZ39" s="285"/>
      <c r="DA39" s="374" t="s">
        <v>58</v>
      </c>
      <c r="DB39" s="375"/>
      <c r="DC39" s="153"/>
      <c r="DD39" s="153"/>
      <c r="DE39" s="153"/>
      <c r="DF39" s="153"/>
      <c r="DG39" s="153"/>
      <c r="DH39" s="153"/>
      <c r="DI39" s="153"/>
      <c r="DJ39" s="162" t="s">
        <v>29</v>
      </c>
      <c r="DK39" s="153"/>
      <c r="DL39" s="286" t="s">
        <v>29</v>
      </c>
      <c r="DM39" s="287"/>
      <c r="DN39" s="374" t="str">
        <f>IF(CW21="","Final annual emissions (AU area)",CONCATENATE("Final annual emissions (",CW21," ha)"))</f>
        <v>Final annual emissions (AU area)</v>
      </c>
      <c r="DO39" s="375"/>
      <c r="DP39" s="287"/>
      <c r="DQ39" s="157"/>
      <c r="DR39" s="157"/>
      <c r="DS39" s="157"/>
      <c r="DT39" s="157"/>
      <c r="DU39" s="157"/>
      <c r="DV39" s="157"/>
      <c r="DW39" s="157"/>
      <c r="DX39" s="158"/>
      <c r="DZ39" s="150"/>
      <c r="EA39" s="151"/>
      <c r="EB39" s="374" t="s">
        <v>57</v>
      </c>
      <c r="EC39" s="375"/>
      <c r="ED39" s="284" t="s">
        <v>26</v>
      </c>
      <c r="EE39" s="285" t="s">
        <v>27</v>
      </c>
      <c r="EF39" s="285"/>
      <c r="EG39" s="374" t="s">
        <v>58</v>
      </c>
      <c r="EH39" s="375"/>
      <c r="EI39" s="153"/>
      <c r="EJ39" s="153"/>
      <c r="EK39" s="153"/>
      <c r="EL39" s="153"/>
      <c r="EM39" s="153"/>
      <c r="EN39" s="153"/>
      <c r="EO39" s="153"/>
      <c r="EP39" s="162" t="s">
        <v>29</v>
      </c>
      <c r="EQ39" s="153"/>
      <c r="ER39" s="286" t="s">
        <v>29</v>
      </c>
      <c r="ES39" s="287"/>
      <c r="ET39" s="374" t="str">
        <f>IF(EC21="","Final annual emissions (AU area)",CONCATENATE("Final annual emissions (",EC21," ha)"))</f>
        <v>Final annual emissions (AU area)</v>
      </c>
      <c r="EU39" s="375"/>
      <c r="EV39" s="287"/>
      <c r="EW39" s="157"/>
      <c r="EX39" s="157"/>
      <c r="EY39" s="157"/>
      <c r="EZ39" s="157"/>
      <c r="FA39" s="157"/>
      <c r="FB39" s="157"/>
      <c r="FC39" s="157"/>
      <c r="FD39" s="158"/>
    </row>
    <row r="40" spans="2:160" ht="15.75" thickBot="1" x14ac:dyDescent="0.3">
      <c r="B40" s="150"/>
      <c r="C40" s="151"/>
      <c r="D40" s="288"/>
      <c r="E40" s="151"/>
      <c r="F40" s="152"/>
      <c r="G40" s="153"/>
      <c r="H40" s="153"/>
      <c r="I40" s="153"/>
      <c r="J40" s="153"/>
      <c r="K40" s="153"/>
      <c r="L40" s="153"/>
      <c r="M40" s="153"/>
      <c r="N40" s="153"/>
      <c r="O40" s="153"/>
      <c r="P40" s="153"/>
      <c r="Q40" s="153"/>
      <c r="R40" s="153"/>
      <c r="S40" s="153"/>
      <c r="T40" s="156"/>
      <c r="U40" s="157"/>
      <c r="V40" s="157"/>
      <c r="W40" s="157"/>
      <c r="X40" s="157"/>
      <c r="Y40" s="157"/>
      <c r="Z40" s="157"/>
      <c r="AA40" s="157"/>
      <c r="AB40" s="157"/>
      <c r="AC40" s="157"/>
      <c r="AD40" s="157"/>
      <c r="AE40" s="157"/>
      <c r="AF40" s="158"/>
      <c r="AH40" s="150"/>
      <c r="AI40" s="151"/>
      <c r="AJ40" s="288"/>
      <c r="AK40" s="151"/>
      <c r="AL40" s="152"/>
      <c r="AM40" s="153"/>
      <c r="AN40" s="153"/>
      <c r="AO40" s="153"/>
      <c r="AP40" s="153"/>
      <c r="AQ40" s="153"/>
      <c r="AR40" s="153"/>
      <c r="AS40" s="153"/>
      <c r="AT40" s="153"/>
      <c r="AU40" s="153"/>
      <c r="AV40" s="153"/>
      <c r="AW40" s="153"/>
      <c r="AX40" s="153"/>
      <c r="AY40" s="153"/>
      <c r="AZ40" s="156"/>
      <c r="BA40" s="157"/>
      <c r="BB40" s="157"/>
      <c r="BC40" s="157"/>
      <c r="BD40" s="157"/>
      <c r="BE40" s="157"/>
      <c r="BF40" s="157"/>
      <c r="BG40" s="157"/>
      <c r="BH40" s="157"/>
      <c r="BI40" s="157"/>
      <c r="BJ40" s="157"/>
      <c r="BK40" s="157"/>
      <c r="BL40" s="158"/>
      <c r="BN40" s="150"/>
      <c r="BO40" s="151"/>
      <c r="BP40" s="288"/>
      <c r="BQ40" s="151"/>
      <c r="BR40" s="152"/>
      <c r="BS40" s="153"/>
      <c r="BT40" s="153"/>
      <c r="BU40" s="153"/>
      <c r="BV40" s="153"/>
      <c r="BW40" s="153"/>
      <c r="BX40" s="153"/>
      <c r="BY40" s="153"/>
      <c r="BZ40" s="153"/>
      <c r="CA40" s="153"/>
      <c r="CB40" s="153"/>
      <c r="CC40" s="153"/>
      <c r="CD40" s="153"/>
      <c r="CE40" s="153"/>
      <c r="CF40" s="156"/>
      <c r="CG40" s="157"/>
      <c r="CH40" s="157"/>
      <c r="CI40" s="157"/>
      <c r="CJ40" s="157"/>
      <c r="CK40" s="157"/>
      <c r="CL40" s="157"/>
      <c r="CM40" s="157"/>
      <c r="CN40" s="157"/>
      <c r="CO40" s="157"/>
      <c r="CP40" s="157"/>
      <c r="CQ40" s="157"/>
      <c r="CR40" s="158"/>
      <c r="CT40" s="150"/>
      <c r="CU40" s="151"/>
      <c r="CV40" s="288"/>
      <c r="CW40" s="151"/>
      <c r="CX40" s="152"/>
      <c r="CY40" s="153"/>
      <c r="CZ40" s="153"/>
      <c r="DA40" s="153"/>
      <c r="DB40" s="153"/>
      <c r="DC40" s="153"/>
      <c r="DD40" s="153"/>
      <c r="DE40" s="153"/>
      <c r="DF40" s="153"/>
      <c r="DG40" s="153"/>
      <c r="DH40" s="153"/>
      <c r="DI40" s="153"/>
      <c r="DJ40" s="153"/>
      <c r="DK40" s="153"/>
      <c r="DL40" s="156"/>
      <c r="DM40" s="157"/>
      <c r="DN40" s="157"/>
      <c r="DO40" s="157"/>
      <c r="DP40" s="157"/>
      <c r="DQ40" s="157"/>
      <c r="DR40" s="157"/>
      <c r="DS40" s="157"/>
      <c r="DT40" s="157"/>
      <c r="DU40" s="157"/>
      <c r="DV40" s="157"/>
      <c r="DW40" s="157"/>
      <c r="DX40" s="158"/>
      <c r="DZ40" s="150"/>
      <c r="EA40" s="151"/>
      <c r="EB40" s="288"/>
      <c r="EC40" s="151"/>
      <c r="ED40" s="152"/>
      <c r="EE40" s="153"/>
      <c r="EF40" s="153"/>
      <c r="EG40" s="153"/>
      <c r="EH40" s="153"/>
      <c r="EI40" s="153"/>
      <c r="EJ40" s="153"/>
      <c r="EK40" s="153"/>
      <c r="EL40" s="153"/>
      <c r="EM40" s="153"/>
      <c r="EN40" s="153"/>
      <c r="EO40" s="153"/>
      <c r="EP40" s="153"/>
      <c r="EQ40" s="153"/>
      <c r="ER40" s="156"/>
      <c r="ES40" s="157"/>
      <c r="ET40" s="157"/>
      <c r="EU40" s="157"/>
      <c r="EV40" s="157"/>
      <c r="EW40" s="157"/>
      <c r="EX40" s="157"/>
      <c r="EY40" s="157"/>
      <c r="EZ40" s="157"/>
      <c r="FA40" s="157"/>
      <c r="FB40" s="157"/>
      <c r="FC40" s="157"/>
      <c r="FD40" s="158"/>
    </row>
    <row r="41" spans="2:160" ht="15.75" thickBot="1" x14ac:dyDescent="0.3">
      <c r="B41" s="150"/>
      <c r="C41" s="193" t="s">
        <v>30</v>
      </c>
      <c r="D41" s="192" t="s">
        <v>31</v>
      </c>
      <c r="E41" s="329" t="s">
        <v>171</v>
      </c>
      <c r="F41" s="152"/>
      <c r="G41" s="153"/>
      <c r="H41" s="191" t="s">
        <v>32</v>
      </c>
      <c r="I41" s="160" t="s">
        <v>33</v>
      </c>
      <c r="J41" s="160">
        <f>IF(E45&gt;E44,E44,E45)</f>
        <v>20</v>
      </c>
      <c r="K41" s="153"/>
      <c r="L41" s="153"/>
      <c r="M41" s="153"/>
      <c r="N41" s="153"/>
      <c r="O41" s="153"/>
      <c r="P41" s="153"/>
      <c r="Q41" s="153"/>
      <c r="R41" s="153"/>
      <c r="S41" s="153"/>
      <c r="T41" s="156"/>
      <c r="U41" s="193" t="s">
        <v>32</v>
      </c>
      <c r="V41" s="160" t="s">
        <v>33</v>
      </c>
      <c r="W41" s="160">
        <f>IF($E$16="","N/a",J41)</f>
        <v>20</v>
      </c>
      <c r="X41" s="157"/>
      <c r="Y41" s="157"/>
      <c r="Z41" s="157"/>
      <c r="AA41" s="157"/>
      <c r="AB41" s="157"/>
      <c r="AC41" s="157"/>
      <c r="AD41" s="157"/>
      <c r="AE41" s="157"/>
      <c r="AF41" s="158"/>
      <c r="AH41" s="150"/>
      <c r="AI41" s="193" t="s">
        <v>30</v>
      </c>
      <c r="AJ41" s="192" t="s">
        <v>31</v>
      </c>
      <c r="AK41" s="329" t="s">
        <v>175</v>
      </c>
      <c r="AL41" s="152"/>
      <c r="AM41" s="153"/>
      <c r="AN41" s="191" t="s">
        <v>32</v>
      </c>
      <c r="AO41" s="160" t="s">
        <v>33</v>
      </c>
      <c r="AP41" s="160">
        <f>IF(AK45&gt;AK44,AK44,AK45)</f>
        <v>20</v>
      </c>
      <c r="AQ41" s="153"/>
      <c r="AR41" s="153"/>
      <c r="AS41" s="153"/>
      <c r="AT41" s="153"/>
      <c r="AU41" s="153"/>
      <c r="AV41" s="153"/>
      <c r="AW41" s="153"/>
      <c r="AX41" s="153"/>
      <c r="AY41" s="153"/>
      <c r="AZ41" s="156"/>
      <c r="BA41" s="193" t="s">
        <v>32</v>
      </c>
      <c r="BB41" s="160" t="s">
        <v>33</v>
      </c>
      <c r="BC41" s="160">
        <f>IF(AK21="","N/a",AP41)</f>
        <v>20</v>
      </c>
      <c r="BD41" s="157"/>
      <c r="BE41" s="157"/>
      <c r="BF41" s="157"/>
      <c r="BG41" s="157"/>
      <c r="BH41" s="157"/>
      <c r="BI41" s="157"/>
      <c r="BJ41" s="157"/>
      <c r="BK41" s="157"/>
      <c r="BL41" s="158"/>
      <c r="BN41" s="150"/>
      <c r="BO41" s="193" t="s">
        <v>30</v>
      </c>
      <c r="BP41" s="192" t="s">
        <v>31</v>
      </c>
      <c r="BQ41" s="329"/>
      <c r="BR41" s="152"/>
      <c r="BS41" s="153"/>
      <c r="BT41" s="191" t="s">
        <v>32</v>
      </c>
      <c r="BU41" s="160" t="s">
        <v>33</v>
      </c>
      <c r="BV41" s="160">
        <f>IF(BQ45&gt;BQ44,BQ44,BQ45)</f>
        <v>0</v>
      </c>
      <c r="BW41" s="153"/>
      <c r="BX41" s="153"/>
      <c r="BY41" s="153"/>
      <c r="BZ41" s="153"/>
      <c r="CA41" s="153"/>
      <c r="CB41" s="153"/>
      <c r="CC41" s="153"/>
      <c r="CD41" s="153"/>
      <c r="CE41" s="153"/>
      <c r="CF41" s="156"/>
      <c r="CG41" s="193" t="s">
        <v>32</v>
      </c>
      <c r="CH41" s="160" t="s">
        <v>33</v>
      </c>
      <c r="CI41" s="160" t="str">
        <f>IF(BQ21="","N/a",BV41)</f>
        <v>N/a</v>
      </c>
      <c r="CJ41" s="157"/>
      <c r="CK41" s="157"/>
      <c r="CL41" s="157"/>
      <c r="CM41" s="157"/>
      <c r="CN41" s="157"/>
      <c r="CO41" s="157"/>
      <c r="CP41" s="157"/>
      <c r="CQ41" s="157"/>
      <c r="CR41" s="158"/>
      <c r="CT41" s="150"/>
      <c r="CU41" s="193" t="s">
        <v>30</v>
      </c>
      <c r="CV41" s="192" t="s">
        <v>31</v>
      </c>
      <c r="CW41" s="329"/>
      <c r="CX41" s="152"/>
      <c r="CY41" s="153"/>
      <c r="CZ41" s="191" t="s">
        <v>32</v>
      </c>
      <c r="DA41" s="160" t="s">
        <v>33</v>
      </c>
      <c r="DB41" s="160">
        <f>IF(CW45&gt;CW44,CW44,CW45)</f>
        <v>0</v>
      </c>
      <c r="DC41" s="153"/>
      <c r="DD41" s="153"/>
      <c r="DE41" s="153"/>
      <c r="DF41" s="153"/>
      <c r="DG41" s="153"/>
      <c r="DH41" s="153"/>
      <c r="DI41" s="153"/>
      <c r="DJ41" s="153"/>
      <c r="DK41" s="153"/>
      <c r="DL41" s="156"/>
      <c r="DM41" s="193" t="s">
        <v>32</v>
      </c>
      <c r="DN41" s="160" t="s">
        <v>33</v>
      </c>
      <c r="DO41" s="160" t="str">
        <f>IF(CW21="","N/a",DB41)</f>
        <v>N/a</v>
      </c>
      <c r="DP41" s="157"/>
      <c r="DQ41" s="157"/>
      <c r="DR41" s="157"/>
      <c r="DS41" s="157"/>
      <c r="DT41" s="157"/>
      <c r="DU41" s="157"/>
      <c r="DV41" s="157"/>
      <c r="DW41" s="157"/>
      <c r="DX41" s="158"/>
      <c r="DZ41" s="150"/>
      <c r="EA41" s="193" t="s">
        <v>30</v>
      </c>
      <c r="EB41" s="192" t="s">
        <v>31</v>
      </c>
      <c r="EC41" s="329"/>
      <c r="ED41" s="152"/>
      <c r="EE41" s="153"/>
      <c r="EF41" s="191" t="s">
        <v>32</v>
      </c>
      <c r="EG41" s="160" t="s">
        <v>33</v>
      </c>
      <c r="EH41" s="160">
        <f>IF(EC45&gt;EC44,EC44,EC45)</f>
        <v>0</v>
      </c>
      <c r="EI41" s="153"/>
      <c r="EJ41" s="153"/>
      <c r="EK41" s="153"/>
      <c r="EL41" s="153"/>
      <c r="EM41" s="153"/>
      <c r="EN41" s="153"/>
      <c r="EO41" s="153"/>
      <c r="EP41" s="153"/>
      <c r="EQ41" s="153"/>
      <c r="ER41" s="156"/>
      <c r="ES41" s="193" t="s">
        <v>32</v>
      </c>
      <c r="ET41" s="160" t="s">
        <v>33</v>
      </c>
      <c r="EU41" s="160" t="str">
        <f>IF(EC21="","N/a",EH41)</f>
        <v>N/a</v>
      </c>
      <c r="EV41" s="157"/>
      <c r="EW41" s="157"/>
      <c r="EX41" s="157"/>
      <c r="EY41" s="157"/>
      <c r="EZ41" s="157"/>
      <c r="FA41" s="157"/>
      <c r="FB41" s="157"/>
      <c r="FC41" s="157"/>
      <c r="FD41" s="158"/>
    </row>
    <row r="42" spans="2:160" x14ac:dyDescent="0.25">
      <c r="B42" s="150"/>
      <c r="C42" s="151"/>
      <c r="D42" s="195" t="s">
        <v>34</v>
      </c>
      <c r="E42" s="154">
        <f>IF(E41='Category Reference Values'!$C$6,'Category Reference Values'!$D$6,IF(E41='Category Reference Values'!$C$7,'Category Reference Values'!$D$7,IF(E41='Category Reference Values'!$C$8,'Category Reference Values'!$D$8,IF(E41='Category Reference Values'!$C$9,'Category Reference Values'!$D$9,IF(E41='Category Reference Values'!$C$10,'Category Reference Values'!$D$10,IF(E41='Category Reference Values'!$C$11,'Category Reference Values'!$D$11,"Error"))))))</f>
        <v>-5</v>
      </c>
      <c r="F42" s="152"/>
      <c r="G42" s="153"/>
      <c r="H42" s="153"/>
      <c r="I42" s="154" t="s">
        <v>35</v>
      </c>
      <c r="J42" s="155" t="e">
        <f>IF($E$41='Category Reference Values'!$C$6,VLOOKUP($J$41,'Near-natural Fen'!$C$8:$G$26,3,FALSE),IF($E$41='Category Reference Values'!$C$7,VLOOKUP($J$41,'Re-wetted Fen'!$C$8:$G$33,3,FALSE),IF($E$41='Category Reference Values'!$C$8,VLOOKUP($J$41,'Modified Fen'!$C$8:$G$53,3,FALSE),IF($E$41='Category Reference Values'!$C$9,VLOOKUP($J$41,'Grassland (Extensive)'!$C$8:$G$94,3,FALSE),IF($E$41='Category Reference Values'!$C$10,VLOOKUP($J$41,'Grassland - (Intensive)'!$C$8:$G$94,3,FALSE),IF($E$41='Category Reference Values'!$C$11,VLOOKUP($J$41,Cropland!$C$8:$G$94,3,FALSE),"Error"))))))</f>
        <v>#N/A</v>
      </c>
      <c r="K42" s="153"/>
      <c r="L42" s="268"/>
      <c r="M42" s="153"/>
      <c r="N42" s="153"/>
      <c r="O42" s="153"/>
      <c r="P42" s="153"/>
      <c r="Q42" s="153"/>
      <c r="R42" s="153"/>
      <c r="S42" s="153"/>
      <c r="T42" s="156"/>
      <c r="U42" s="157"/>
      <c r="V42" s="154" t="s">
        <v>37</v>
      </c>
      <c r="W42" s="155" t="e">
        <f t="shared" ref="W42:W48" si="1">IF($E$16="","N/a",$E$16*J42)</f>
        <v>#N/A</v>
      </c>
      <c r="X42" s="157"/>
      <c r="Y42" s="157"/>
      <c r="Z42" s="157"/>
      <c r="AA42" s="157"/>
      <c r="AB42" s="157"/>
      <c r="AC42" s="157"/>
      <c r="AD42" s="157"/>
      <c r="AE42" s="157"/>
      <c r="AF42" s="158"/>
      <c r="AH42" s="150"/>
      <c r="AI42" s="151"/>
      <c r="AJ42" s="195" t="s">
        <v>34</v>
      </c>
      <c r="AK42" s="154">
        <f>IF(AK41='Category Reference Values'!$C$6,'Category Reference Values'!$D$6,IF(AK41='Category Reference Values'!$C$7,'Category Reference Values'!$D$7,IF(AK41='Category Reference Values'!$C$8,'Category Reference Values'!$D$8,IF(AK41='Category Reference Values'!$C$9,'Category Reference Values'!$D$9,IF(AK41='Category Reference Values'!$C$10,'Category Reference Values'!$D$10,IF(AK41='Category Reference Values'!$C$11,'Category Reference Values'!$D$11,"Error"))))))</f>
        <v>-5</v>
      </c>
      <c r="AL42" s="152"/>
      <c r="AM42" s="153"/>
      <c r="AN42" s="153"/>
      <c r="AO42" s="154" t="s">
        <v>35</v>
      </c>
      <c r="AP42" s="155">
        <f>IF(AK41='Category Reference Values'!$C$6,VLOOKUP(AP41,'Near-natural Fen'!$C$8:$G$26,3,FALSE),IF(AK41='Category Reference Values'!$C$7,VLOOKUP(AP41,'Re-wetted Fen'!$C$8:$G$33,3,FALSE),IF(AK41='Category Reference Values'!$C$8,VLOOKUP(AP41,'Modified Fen'!$C$8:$G$53,3,FALSE),IF(AK41='Category Reference Values'!$C$9,VLOOKUP(AP41,'Grassland (Extensive)'!$C$8:$G$94,3,FALSE),IF(AK41='Category Reference Values'!$C$10,VLOOKUP(AP41,'Grassland - (Intensive)'!$C$8:$G$94,3,FALSE),IF(AK41='Category Reference Values'!$C$11,VLOOKUP(AP41,Cropland!$C$8:$G$94,3,FALSE),"Error"))))))</f>
        <v>3.4906666666666664</v>
      </c>
      <c r="AQ42" s="153"/>
      <c r="AR42" s="268"/>
      <c r="AS42" s="153"/>
      <c r="AT42" s="153"/>
      <c r="AU42" s="153"/>
      <c r="AV42" s="153"/>
      <c r="AW42" s="153"/>
      <c r="AX42" s="153"/>
      <c r="AY42" s="153"/>
      <c r="AZ42" s="156"/>
      <c r="BA42" s="157"/>
      <c r="BB42" s="154" t="s">
        <v>37</v>
      </c>
      <c r="BC42" s="155">
        <f>IF(AK21="","N/a",AK21*AP42)</f>
        <v>34.906666666666666</v>
      </c>
      <c r="BD42" s="157"/>
      <c r="BE42" s="157"/>
      <c r="BF42" s="157"/>
      <c r="BG42" s="157"/>
      <c r="BH42" s="157"/>
      <c r="BI42" s="157"/>
      <c r="BJ42" s="157"/>
      <c r="BK42" s="157"/>
      <c r="BL42" s="158"/>
      <c r="BN42" s="150"/>
      <c r="BO42" s="151"/>
      <c r="BP42" s="195" t="s">
        <v>34</v>
      </c>
      <c r="BQ42" s="154" t="str">
        <f>IF(BQ41='Category Reference Values'!$C$6,'Category Reference Values'!$D$6,IF(BQ41='Category Reference Values'!$C$7,'Category Reference Values'!$D$7,IF(BQ41='Category Reference Values'!$C$8,'Category Reference Values'!$D$8,IF(BQ41='Category Reference Values'!$C$9,'Category Reference Values'!$D$9,IF(BQ41='Category Reference Values'!$C$10,'Category Reference Values'!$D$10,IF(BQ41='Category Reference Values'!$C$11,'Category Reference Values'!$D$11,"Error"))))))</f>
        <v>Error</v>
      </c>
      <c r="BR42" s="152"/>
      <c r="BS42" s="153"/>
      <c r="BT42" s="153"/>
      <c r="BU42" s="154" t="s">
        <v>35</v>
      </c>
      <c r="BV42" s="155" t="str">
        <f>IF(BQ41='Category Reference Values'!$C$6,VLOOKUP(BV41,'Near-natural Fen'!$C$8:$G$26,3,FALSE),IF(BQ41='Category Reference Values'!$C$7,VLOOKUP(BV41,'Re-wetted Fen'!$C$8:$G$33,3,FALSE),IF(BQ41='Category Reference Values'!$C$8,VLOOKUP(BV41,'Modified Fen'!$C$8:$G$53,3,FALSE),IF(BQ41='Category Reference Values'!$C$9,VLOOKUP(BV41,'Grassland (Extensive)'!$C$8:$G$94,3,FALSE),IF(BQ41='Category Reference Values'!$C$10,VLOOKUP(BV41,'Grassland - (Intensive)'!$C$8:$G$94,3,FALSE),IF(BQ41='Category Reference Values'!$C$11,VLOOKUP(BV41,Cropland!$C$8:$G$94,3,FALSE),"Error"))))))</f>
        <v>Error</v>
      </c>
      <c r="BW42" s="153"/>
      <c r="BX42" s="268"/>
      <c r="BY42" s="153"/>
      <c r="BZ42" s="153"/>
      <c r="CA42" s="153"/>
      <c r="CB42" s="153"/>
      <c r="CC42" s="153"/>
      <c r="CD42" s="153"/>
      <c r="CE42" s="153"/>
      <c r="CF42" s="156"/>
      <c r="CG42" s="157"/>
      <c r="CH42" s="154" t="s">
        <v>37</v>
      </c>
      <c r="CI42" s="155" t="str">
        <f>IF(BQ21="","N/a",BQ21*BV42)</f>
        <v>N/a</v>
      </c>
      <c r="CJ42" s="157"/>
      <c r="CK42" s="157"/>
      <c r="CL42" s="157"/>
      <c r="CM42" s="157"/>
      <c r="CN42" s="157"/>
      <c r="CO42" s="157"/>
      <c r="CP42" s="157"/>
      <c r="CQ42" s="157"/>
      <c r="CR42" s="158"/>
      <c r="CT42" s="150"/>
      <c r="CU42" s="151"/>
      <c r="CV42" s="195" t="s">
        <v>34</v>
      </c>
      <c r="CW42" s="154" t="str">
        <f>IF(CW41='Category Reference Values'!$C$6,'Category Reference Values'!$D$6,IF(CW41='Category Reference Values'!$C$7,'Category Reference Values'!$D$7,IF(CW41='Category Reference Values'!$C$8,'Category Reference Values'!$D$8,IF(CW41='Category Reference Values'!$C$9,'Category Reference Values'!$D$9,IF(CW41='Category Reference Values'!$C$10,'Category Reference Values'!$D$10,IF(CW41='Category Reference Values'!$C$11,'Category Reference Values'!$D$11,"Error"))))))</f>
        <v>Error</v>
      </c>
      <c r="CX42" s="152"/>
      <c r="CY42" s="153"/>
      <c r="CZ42" s="153"/>
      <c r="DA42" s="154" t="s">
        <v>35</v>
      </c>
      <c r="DB42" s="155" t="str">
        <f>IF(CW41='Category Reference Values'!$C$6,VLOOKUP(DB41,'Near-natural Fen'!$C$8:$G$26,3,FALSE),IF(CW41='Category Reference Values'!$C$7,VLOOKUP(DB41,'Re-wetted Fen'!$C$8:$G$33,3,FALSE),IF(CW41='Category Reference Values'!$C$8,VLOOKUP(DB41,'Modified Fen'!$C$8:$G$53,3,FALSE),IF(CW41='Category Reference Values'!$C$9,VLOOKUP(DB41,'Grassland (Extensive)'!$C$8:$G$94,3,FALSE),IF(CW41='Category Reference Values'!$C$10,VLOOKUP(DB41,'Grassland - (Intensive)'!$C$8:$G$94,3,FALSE),IF(CW41='Category Reference Values'!$C$11,VLOOKUP(DB41,Cropland!$C$8:$G$94,3,FALSE),"Error"))))))</f>
        <v>Error</v>
      </c>
      <c r="DC42" s="153"/>
      <c r="DD42" s="268"/>
      <c r="DE42" s="153"/>
      <c r="DF42" s="153"/>
      <c r="DG42" s="153"/>
      <c r="DH42" s="153"/>
      <c r="DI42" s="153"/>
      <c r="DJ42" s="153"/>
      <c r="DK42" s="153"/>
      <c r="DL42" s="156"/>
      <c r="DM42" s="157"/>
      <c r="DN42" s="154" t="s">
        <v>37</v>
      </c>
      <c r="DO42" s="155" t="str">
        <f>IF(CW21="","N/a",CW21*DB42)</f>
        <v>N/a</v>
      </c>
      <c r="DP42" s="157"/>
      <c r="DQ42" s="157"/>
      <c r="DR42" s="157"/>
      <c r="DS42" s="157"/>
      <c r="DT42" s="157"/>
      <c r="DU42" s="157"/>
      <c r="DV42" s="157"/>
      <c r="DW42" s="157"/>
      <c r="DX42" s="158"/>
      <c r="DZ42" s="150"/>
      <c r="EA42" s="151"/>
      <c r="EB42" s="195" t="s">
        <v>34</v>
      </c>
      <c r="EC42" s="154" t="str">
        <f>IF(EC41='Category Reference Values'!$C$6,'Category Reference Values'!$D$6,IF(EC41='Category Reference Values'!$C$7,'Category Reference Values'!$D$7,IF(EC41='Category Reference Values'!$C$8,'Category Reference Values'!$D$8,IF(EC41='Category Reference Values'!$C$9,'Category Reference Values'!$D$9,IF(EC41='Category Reference Values'!$C$10,'Category Reference Values'!$D$10,IF(EC41='Category Reference Values'!$C$11,'Category Reference Values'!$D$11,"Error"))))))</f>
        <v>Error</v>
      </c>
      <c r="ED42" s="152"/>
      <c r="EE42" s="153"/>
      <c r="EF42" s="153"/>
      <c r="EG42" s="154" t="s">
        <v>35</v>
      </c>
      <c r="EH42" s="155" t="str">
        <f>IF(EC41='Category Reference Values'!$C$6,VLOOKUP(EH41,'Near-natural Fen'!$C$8:$G$26,3,FALSE),IF(EC41='Category Reference Values'!$C$7,VLOOKUP(EH41,'Re-wetted Fen'!$C$8:$G$33,3,FALSE),IF(EC41='Category Reference Values'!$C$8,VLOOKUP(EH41,'Modified Fen'!$C$8:$G$53,3,FALSE),IF(EC41='Category Reference Values'!$C$9,VLOOKUP(EH41,'Grassland (Extensive)'!$C$8:$G$94,3,FALSE),IF(EC41='Category Reference Values'!$C$10,VLOOKUP(EH41,'Grassland - (Intensive)'!$C$8:$G$94,3,FALSE),IF(EC41='Category Reference Values'!$C$11,VLOOKUP(EH41,Cropland!$C$8:$G$94,3,FALSE),"Error"))))))</f>
        <v>Error</v>
      </c>
      <c r="EI42" s="153"/>
      <c r="EJ42" s="268"/>
      <c r="EK42" s="153"/>
      <c r="EL42" s="153"/>
      <c r="EM42" s="153"/>
      <c r="EN42" s="153"/>
      <c r="EO42" s="153"/>
      <c r="EP42" s="153"/>
      <c r="EQ42" s="153"/>
      <c r="ER42" s="156"/>
      <c r="ES42" s="157"/>
      <c r="ET42" s="154" t="s">
        <v>37</v>
      </c>
      <c r="EU42" s="155" t="str">
        <f>IF(EC21="","N/a",EC21*EH42)</f>
        <v>N/a</v>
      </c>
      <c r="EV42" s="157"/>
      <c r="EW42" s="157"/>
      <c r="EX42" s="157"/>
      <c r="EY42" s="157"/>
      <c r="EZ42" s="157"/>
      <c r="FA42" s="157"/>
      <c r="FB42" s="157"/>
      <c r="FC42" s="157"/>
      <c r="FD42" s="158"/>
    </row>
    <row r="43" spans="2:160" ht="15.75" thickBot="1" x14ac:dyDescent="0.3">
      <c r="B43" s="150"/>
      <c r="C43" s="151"/>
      <c r="D43" s="195" t="s">
        <v>38</v>
      </c>
      <c r="E43" s="154">
        <f>IF(E41='Category Reference Values'!$C$6,'Category Reference Values'!$E$6,IF(E41='Category Reference Values'!$C$7,'Category Reference Values'!$E$7,IF(E41='Category Reference Values'!$C$8,'Category Reference Values'!$E$8,IF(E41='Category Reference Values'!$C$9,'Category Reference Values'!$E$9,IF(E41='Category Reference Values'!$C$10,'Category Reference Values'!$E$10,IF(E41='Category Reference Values'!$C$11,'Category Reference Values'!$E$11,"Error"))))))</f>
        <v>13</v>
      </c>
      <c r="F43" s="152"/>
      <c r="G43" s="153"/>
      <c r="H43" s="153"/>
      <c r="I43" s="154" t="s">
        <v>39</v>
      </c>
      <c r="J43" s="155" t="e">
        <f>IF($E$41='Category Reference Values'!$C$6,VLOOKUP($E$44,'Near-natural Fen'!$C$8:$G$26,5,FALSE),IF($E$41='Category Reference Values'!$C$7,VLOOKUP($E$44,'Re-wetted Fen'!$C$8:$G$33,5,FALSE),IF($E$41='Category Reference Values'!$C$8,VLOOKUP($E$44,'Modified Fen'!C8:G53,5,FALSE),IF($E$41='Category Reference Values'!$C$9,VLOOKUP($E$44,'Grassland (Extensive)'!$C$8:$G$94,5,FALSE),IF($E$41='Category Reference Values'!$C$10,VLOOKUP($E$44,'Grassland - (Intensive)'!$C$8:$G$94,5,FALSE),IF($E$41='Category Reference Values'!$C$11,VLOOKUP($E$44,Cropland!$C$8:$G$94,5,FALSE),"Error"))))))</f>
        <v>#N/A</v>
      </c>
      <c r="K43" s="153"/>
      <c r="L43" s="268"/>
      <c r="M43" s="153"/>
      <c r="N43" s="153"/>
      <c r="O43" s="153"/>
      <c r="P43" s="153"/>
      <c r="Q43" s="153"/>
      <c r="R43" s="153"/>
      <c r="S43" s="153"/>
      <c r="T43" s="156"/>
      <c r="U43" s="157"/>
      <c r="V43" s="154" t="s">
        <v>40</v>
      </c>
      <c r="W43" s="155" t="e">
        <f t="shared" si="1"/>
        <v>#N/A</v>
      </c>
      <c r="X43" s="157"/>
      <c r="Y43" s="157"/>
      <c r="Z43" s="157"/>
      <c r="AA43" s="157"/>
      <c r="AB43" s="157"/>
      <c r="AC43" s="157"/>
      <c r="AD43" s="157"/>
      <c r="AE43" s="157"/>
      <c r="AF43" s="158"/>
      <c r="AH43" s="150"/>
      <c r="AI43" s="151"/>
      <c r="AJ43" s="195" t="s">
        <v>38</v>
      </c>
      <c r="AK43" s="154">
        <f>IF(AK41='Category Reference Values'!$C$6,'Category Reference Values'!$E$6,IF(AK41='Category Reference Values'!$C$7,'Category Reference Values'!$E$7,IF(AK41='Category Reference Values'!$C$8,'Category Reference Values'!$E$8,IF(AK41='Category Reference Values'!$C$9,'Category Reference Values'!$E$9,IF(AK41='Category Reference Values'!$C$10,'Category Reference Values'!$E$10,IF(AK41='Category Reference Values'!$C$11,'Category Reference Values'!$E$11,"Error"))))))</f>
        <v>20</v>
      </c>
      <c r="AL43" s="152"/>
      <c r="AM43" s="153"/>
      <c r="AN43" s="153"/>
      <c r="AO43" s="154" t="s">
        <v>39</v>
      </c>
      <c r="AP43" s="155">
        <f>IF(AK41='Category Reference Values'!$C$6,VLOOKUP(AK44,'Near-natural Fen'!$C$8:$G$26,5,FALSE),IF(AK41='Category Reference Values'!$C$7,VLOOKUP(AK44,'Re-wetted Fen'!$C$8:$G$33,5,FALSE),IF(AK41='Category Reference Values'!$C$8,VLOOKUP(AK44,'Modified Fen'!$C$8:$G$53,5,FALSE),IF(AK41='Category Reference Values'!$C$9,VLOOKUP(AK44,'Grassland (Extensive)'!$C$8:$G$94,5,FALSE),IF(AK41='Category Reference Values'!$C$10,VLOOKUP(AK44,'Grassland - (Intensive)'!$C$8:$G$94,5,FALSE),IF(AK41='Category Reference Values'!$C$11,VLOOKUP(AK44,Cropland!$C$8:$G$94,5,FALSE),"Error"))))))</f>
        <v>43.794052955437699</v>
      </c>
      <c r="AQ43" s="153"/>
      <c r="AR43" s="268"/>
      <c r="AS43" s="153"/>
      <c r="AT43" s="153"/>
      <c r="AU43" s="153"/>
      <c r="AV43" s="153"/>
      <c r="AW43" s="153"/>
      <c r="AX43" s="153"/>
      <c r="AY43" s="153"/>
      <c r="AZ43" s="156"/>
      <c r="BA43" s="157"/>
      <c r="BB43" s="154" t="s">
        <v>40</v>
      </c>
      <c r="BC43" s="155">
        <f>IF(AK21="","N/a",AK21*AP43)</f>
        <v>437.94052955437701</v>
      </c>
      <c r="BD43" s="157"/>
      <c r="BE43" s="157"/>
      <c r="BF43" s="157"/>
      <c r="BG43" s="157"/>
      <c r="BH43" s="157"/>
      <c r="BI43" s="157"/>
      <c r="BJ43" s="157"/>
      <c r="BK43" s="157"/>
      <c r="BL43" s="158"/>
      <c r="BN43" s="150"/>
      <c r="BO43" s="151"/>
      <c r="BP43" s="195" t="s">
        <v>38</v>
      </c>
      <c r="BQ43" s="154" t="str">
        <f>IF(BQ41='Category Reference Values'!$C$6,'Category Reference Values'!$E$6,IF(BQ41='Category Reference Values'!$C$7,'Category Reference Values'!$E$7,IF(BQ41='Category Reference Values'!$C$8,'Category Reference Values'!$E$8,IF(BQ41='Category Reference Values'!$C$9,'Category Reference Values'!$E$9,IF(BQ41='Category Reference Values'!$C$10,'Category Reference Values'!$E$10,IF(BQ41='Category Reference Values'!$C$11,'Category Reference Values'!$E$11,"Error"))))))</f>
        <v>Error</v>
      </c>
      <c r="BR43" s="152"/>
      <c r="BS43" s="153"/>
      <c r="BT43" s="153"/>
      <c r="BU43" s="154" t="s">
        <v>39</v>
      </c>
      <c r="BV43" s="155" t="str">
        <f>IF(BQ41='Category Reference Values'!$C$6,VLOOKUP(BQ44,'Near-natural Fen'!$C$8:$G$26,5,FALSE),IF(BQ41='Category Reference Values'!$C$7,VLOOKUP(BQ44,'Re-wetted Fen'!$C$8:$G$33,5,FALSE),IF(BQ41='Category Reference Values'!$C$8,VLOOKUP(BQ44,'Modified Fen'!$C$8:$G$53,5,FALSE),IF(BQ41='Category Reference Values'!$C$9,VLOOKUP(BQ44,'Grassland (Extensive)'!$C$8:$G$94,5,FALSE),IF(BQ41='Category Reference Values'!$C$10,VLOOKUP(BQ44,'Grassland - (Intensive)'!$C$8:$G$94,5,FALSE),IF(BQ41='Category Reference Values'!$C$11,VLOOKUP(BQ44,Cropland!$C$8:$G$94,5,FALSE),"Error"))))))</f>
        <v>Error</v>
      </c>
      <c r="BW43" s="153"/>
      <c r="BX43" s="268"/>
      <c r="BY43" s="153"/>
      <c r="BZ43" s="153"/>
      <c r="CA43" s="153"/>
      <c r="CB43" s="153"/>
      <c r="CC43" s="153"/>
      <c r="CD43" s="153"/>
      <c r="CE43" s="153"/>
      <c r="CF43" s="156"/>
      <c r="CG43" s="157"/>
      <c r="CH43" s="154" t="s">
        <v>40</v>
      </c>
      <c r="CI43" s="155" t="str">
        <f>IF(BQ21="","N/a",BQ21*BV43)</f>
        <v>N/a</v>
      </c>
      <c r="CJ43" s="157"/>
      <c r="CK43" s="157"/>
      <c r="CL43" s="157"/>
      <c r="CM43" s="157"/>
      <c r="CN43" s="157"/>
      <c r="CO43" s="157"/>
      <c r="CP43" s="157"/>
      <c r="CQ43" s="157"/>
      <c r="CR43" s="158"/>
      <c r="CT43" s="150"/>
      <c r="CU43" s="151"/>
      <c r="CV43" s="195" t="s">
        <v>38</v>
      </c>
      <c r="CW43" s="154" t="str">
        <f>IF(CW41='Category Reference Values'!$C$6,'Category Reference Values'!$E$6,IF(CW41='Category Reference Values'!$C$7,'Category Reference Values'!$E$7,IF(CW41='Category Reference Values'!$C$8,'Category Reference Values'!$E$8,IF(CW41='Category Reference Values'!$C$9,'Category Reference Values'!$E$9,IF(CW41='Category Reference Values'!$C$10,'Category Reference Values'!$E$10,IF(CW41='Category Reference Values'!$C$11,'Category Reference Values'!$E$11,"Error"))))))</f>
        <v>Error</v>
      </c>
      <c r="CX43" s="152"/>
      <c r="CY43" s="153"/>
      <c r="CZ43" s="153"/>
      <c r="DA43" s="154" t="s">
        <v>39</v>
      </c>
      <c r="DB43" s="155" t="str">
        <f>IF(CW41='Category Reference Values'!$C$6,VLOOKUP(CW44,'Near-natural Fen'!$C$8:$G$26,5,FALSE),IF(CW41='Category Reference Values'!$C$7,VLOOKUP(CW44,'Re-wetted Fen'!$C$8:$G$33,5,FALSE),IF(CW41='Category Reference Values'!$C$8,VLOOKUP(CW44,'Modified Fen'!$C$8:$G$53,5,FALSE),IF(CW41='Category Reference Values'!$C$9,VLOOKUP(CW44,'Grassland (Extensive)'!$C$8:$G$94,5,FALSE),IF(CW41='Category Reference Values'!$C$10,VLOOKUP(CW44,'Grassland - (Intensive)'!$C$8:$G$94,5,FALSE),IF(CW41='Category Reference Values'!$C$11,VLOOKUP(CW44,Cropland!$C$8:$G$94,5,FALSE),"Error"))))))</f>
        <v>Error</v>
      </c>
      <c r="DC43" s="153"/>
      <c r="DD43" s="268"/>
      <c r="DE43" s="153"/>
      <c r="DF43" s="153"/>
      <c r="DG43" s="153"/>
      <c r="DH43" s="153"/>
      <c r="DI43" s="153"/>
      <c r="DJ43" s="153"/>
      <c r="DK43" s="153"/>
      <c r="DL43" s="156"/>
      <c r="DM43" s="157"/>
      <c r="DN43" s="154" t="s">
        <v>40</v>
      </c>
      <c r="DO43" s="155" t="str">
        <f>IF(CW21="","N/a",CW21*DB43)</f>
        <v>N/a</v>
      </c>
      <c r="DP43" s="157"/>
      <c r="DQ43" s="157"/>
      <c r="DR43" s="157"/>
      <c r="DS43" s="157"/>
      <c r="DT43" s="157"/>
      <c r="DU43" s="157"/>
      <c r="DV43" s="157"/>
      <c r="DW43" s="157"/>
      <c r="DX43" s="158"/>
      <c r="DZ43" s="150"/>
      <c r="EA43" s="151"/>
      <c r="EB43" s="195" t="s">
        <v>38</v>
      </c>
      <c r="EC43" s="154" t="str">
        <f>IF(EC41='Category Reference Values'!$C$6,'Category Reference Values'!$E$6,IF(EC41='Category Reference Values'!$C$7,'Category Reference Values'!$E$7,IF(EC41='Category Reference Values'!$C$8,'Category Reference Values'!$E$8,IF(EC41='Category Reference Values'!$C$9,'Category Reference Values'!$E$9,IF(EC41='Category Reference Values'!$C$10,'Category Reference Values'!$E$10,IF(EC41='Category Reference Values'!$C$11,'Category Reference Values'!$E$11,"Error"))))))</f>
        <v>Error</v>
      </c>
      <c r="ED43" s="152"/>
      <c r="EE43" s="153"/>
      <c r="EF43" s="153"/>
      <c r="EG43" s="154" t="s">
        <v>39</v>
      </c>
      <c r="EH43" s="155" t="str">
        <f>IF(EC41='Category Reference Values'!$C$6,VLOOKUP(EC44,'Near-natural Fen'!$C$8:$G$26,5,FALSE),IF(EC41='Category Reference Values'!$C$7,VLOOKUP(EC44,'Re-wetted Fen'!$C$8:$G$33,5,FALSE),IF(EC41='Category Reference Values'!$C$8,VLOOKUP(EC44,'Modified Fen'!$C$8:$G$53,5,FALSE),IF(EC41='Category Reference Values'!$C$9,VLOOKUP(EC44,'Grassland (Extensive)'!$C$8:$G$94,5,FALSE),IF(EC41='Category Reference Values'!$C$10,VLOOKUP(EC44,'Grassland - (Intensive)'!$C$8:$G$94,5,FALSE),IF(EC41='Category Reference Values'!$C$11,VLOOKUP(EC44,Cropland!$C$8:$G$94,5,FALSE),"Error"))))))</f>
        <v>Error</v>
      </c>
      <c r="EI43" s="153"/>
      <c r="EJ43" s="268"/>
      <c r="EK43" s="153"/>
      <c r="EL43" s="153"/>
      <c r="EM43" s="153"/>
      <c r="EN43" s="153"/>
      <c r="EO43" s="153"/>
      <c r="EP43" s="153"/>
      <c r="EQ43" s="153"/>
      <c r="ER43" s="156"/>
      <c r="ES43" s="157"/>
      <c r="ET43" s="154" t="s">
        <v>40</v>
      </c>
      <c r="EU43" s="155" t="str">
        <f>IF(EC21="","N/a",EC21*EH43)</f>
        <v>N/a</v>
      </c>
      <c r="EV43" s="157"/>
      <c r="EW43" s="157"/>
      <c r="EX43" s="157"/>
      <c r="EY43" s="157"/>
      <c r="EZ43" s="157"/>
      <c r="FA43" s="157"/>
      <c r="FB43" s="157"/>
      <c r="FC43" s="157"/>
      <c r="FD43" s="158"/>
    </row>
    <row r="44" spans="2:160" x14ac:dyDescent="0.25">
      <c r="B44" s="150"/>
      <c r="C44" s="151"/>
      <c r="D44" s="269" t="s">
        <v>41</v>
      </c>
      <c r="E44" s="330">
        <v>20</v>
      </c>
      <c r="F44" s="152"/>
      <c r="G44" s="153"/>
      <c r="H44" s="153"/>
      <c r="I44" s="154" t="s">
        <v>42</v>
      </c>
      <c r="J44" s="155" t="e">
        <f>IF($E$11='GWP reference values'!$C$6,J43*'GWP reference values'!$D$6/1000,IF(Calculator!$E$11='GWP reference values'!$C$7,J43*'GWP reference values'!$D$7/1000,IF($E$11='GWP reference values'!$C$8,J43*'GWP reference values'!$D$8/1000,"Error")))</f>
        <v>#N/A</v>
      </c>
      <c r="K44" s="153"/>
      <c r="L44" s="268"/>
      <c r="M44" s="153"/>
      <c r="N44" s="153"/>
      <c r="O44" s="153"/>
      <c r="P44" s="153"/>
      <c r="Q44" s="153"/>
      <c r="R44" s="153"/>
      <c r="S44" s="153"/>
      <c r="T44" s="156"/>
      <c r="U44" s="157"/>
      <c r="V44" s="154" t="s">
        <v>44</v>
      </c>
      <c r="W44" s="155" t="e">
        <f t="shared" si="1"/>
        <v>#N/A</v>
      </c>
      <c r="X44" s="157"/>
      <c r="Y44" s="157"/>
      <c r="Z44" s="157"/>
      <c r="AA44" s="157"/>
      <c r="AB44" s="157"/>
      <c r="AC44" s="157"/>
      <c r="AD44" s="157"/>
      <c r="AE44" s="157"/>
      <c r="AF44" s="158"/>
      <c r="AH44" s="150"/>
      <c r="AI44" s="151"/>
      <c r="AJ44" s="269" t="s">
        <v>41</v>
      </c>
      <c r="AK44" s="330">
        <v>20</v>
      </c>
      <c r="AL44" s="152"/>
      <c r="AM44" s="153"/>
      <c r="AN44" s="153"/>
      <c r="AO44" s="154" t="s">
        <v>42</v>
      </c>
      <c r="AP44" s="155">
        <f>IF($E$11='GWP reference values'!$C$6,AP43*'GWP reference values'!$D$6/1000,IF(Calculator!$E$11='GWP reference values'!$C$7,AP43*'GWP reference values'!$D$7/1000,IF($E$11='GWP reference values'!$C$8,AP43*'GWP reference values'!$D$8/1000,"Error")))</f>
        <v>1.2262334827522556</v>
      </c>
      <c r="AQ44" s="153"/>
      <c r="AR44" s="268"/>
      <c r="AS44" s="153"/>
      <c r="AT44" s="153"/>
      <c r="AU44" s="153"/>
      <c r="AV44" s="153"/>
      <c r="AW44" s="153"/>
      <c r="AX44" s="153"/>
      <c r="AY44" s="153"/>
      <c r="AZ44" s="156"/>
      <c r="BA44" s="157"/>
      <c r="BB44" s="154" t="s">
        <v>44</v>
      </c>
      <c r="BC44" s="155">
        <f>IF(AK21="","N/a",AK21*AP44)</f>
        <v>12.262334827522556</v>
      </c>
      <c r="BD44" s="157"/>
      <c r="BE44" s="157"/>
      <c r="BF44" s="157"/>
      <c r="BG44" s="157"/>
      <c r="BH44" s="157"/>
      <c r="BI44" s="157"/>
      <c r="BJ44" s="157"/>
      <c r="BK44" s="157"/>
      <c r="BL44" s="158"/>
      <c r="BN44" s="150"/>
      <c r="BO44" s="151"/>
      <c r="BP44" s="269" t="s">
        <v>41</v>
      </c>
      <c r="BQ44" s="330"/>
      <c r="BR44" s="152"/>
      <c r="BS44" s="153"/>
      <c r="BT44" s="153"/>
      <c r="BU44" s="154" t="s">
        <v>42</v>
      </c>
      <c r="BV44" s="155" t="e">
        <f>IF($E$11='GWP reference values'!$C$6,BV43*'GWP reference values'!$D$6/1000,IF(Calculator!$E$11='GWP reference values'!$C$7,BV43*'GWP reference values'!$D$7/1000,IF($E$11='GWP reference values'!$C$8,BV43*'GWP reference values'!$D$8/1000,"Error")))</f>
        <v>#VALUE!</v>
      </c>
      <c r="BW44" s="153"/>
      <c r="BX44" s="268"/>
      <c r="BY44" s="153"/>
      <c r="BZ44" s="153"/>
      <c r="CA44" s="153"/>
      <c r="CB44" s="153"/>
      <c r="CC44" s="153"/>
      <c r="CD44" s="153"/>
      <c r="CE44" s="153"/>
      <c r="CF44" s="156"/>
      <c r="CG44" s="157"/>
      <c r="CH44" s="154" t="s">
        <v>44</v>
      </c>
      <c r="CI44" s="155" t="str">
        <f>IF(BQ21="","N/a",BQ21*BV44)</f>
        <v>N/a</v>
      </c>
      <c r="CJ44" s="157"/>
      <c r="CK44" s="157"/>
      <c r="CL44" s="157"/>
      <c r="CM44" s="157"/>
      <c r="CN44" s="157"/>
      <c r="CO44" s="157"/>
      <c r="CP44" s="157"/>
      <c r="CQ44" s="157"/>
      <c r="CR44" s="158"/>
      <c r="CT44" s="150"/>
      <c r="CU44" s="151"/>
      <c r="CV44" s="269" t="s">
        <v>41</v>
      </c>
      <c r="CW44" s="330"/>
      <c r="CX44" s="152"/>
      <c r="CY44" s="153"/>
      <c r="CZ44" s="153"/>
      <c r="DA44" s="154" t="s">
        <v>42</v>
      </c>
      <c r="DB44" s="155" t="e">
        <f>IF($E$11='GWP reference values'!$C$6,DB43*'GWP reference values'!$D$6/1000,IF(Calculator!$E$11='GWP reference values'!$C$7,DB43*'GWP reference values'!$D$7/1000,IF($E$11='GWP reference values'!$C$8,DB43*'GWP reference values'!$D$8/1000,"Error")))</f>
        <v>#VALUE!</v>
      </c>
      <c r="DC44" s="153"/>
      <c r="DD44" s="268"/>
      <c r="DE44" s="153"/>
      <c r="DF44" s="153"/>
      <c r="DG44" s="153"/>
      <c r="DH44" s="153"/>
      <c r="DI44" s="153"/>
      <c r="DJ44" s="153"/>
      <c r="DK44" s="153"/>
      <c r="DL44" s="156"/>
      <c r="DM44" s="157"/>
      <c r="DN44" s="154" t="s">
        <v>44</v>
      </c>
      <c r="DO44" s="155" t="str">
        <f>IF(CW21="","N/a",CW21*DB44)</f>
        <v>N/a</v>
      </c>
      <c r="DP44" s="157"/>
      <c r="DQ44" s="157"/>
      <c r="DR44" s="157"/>
      <c r="DS44" s="157"/>
      <c r="DT44" s="157"/>
      <c r="DU44" s="157"/>
      <c r="DV44" s="157"/>
      <c r="DW44" s="157"/>
      <c r="DX44" s="158"/>
      <c r="DZ44" s="150"/>
      <c r="EA44" s="151"/>
      <c r="EB44" s="269" t="s">
        <v>41</v>
      </c>
      <c r="EC44" s="330"/>
      <c r="ED44" s="152"/>
      <c r="EE44" s="153"/>
      <c r="EF44" s="153"/>
      <c r="EG44" s="154" t="s">
        <v>42</v>
      </c>
      <c r="EH44" s="155" t="e">
        <f>IF($E$11='GWP reference values'!$C$6,EH43*'GWP reference values'!$D$6/1000,IF(Calculator!$E$11='GWP reference values'!$C$7,EH43*'GWP reference values'!$D$7/1000,IF($E$11='GWP reference values'!$C$8,EH43*'GWP reference values'!$D$8/1000,"Error")))</f>
        <v>#VALUE!</v>
      </c>
      <c r="EI44" s="153"/>
      <c r="EJ44" s="268"/>
      <c r="EK44" s="153"/>
      <c r="EL44" s="153"/>
      <c r="EM44" s="153"/>
      <c r="EN44" s="153"/>
      <c r="EO44" s="153"/>
      <c r="EP44" s="153"/>
      <c r="EQ44" s="153"/>
      <c r="ER44" s="156"/>
      <c r="ES44" s="157"/>
      <c r="ET44" s="154" t="s">
        <v>44</v>
      </c>
      <c r="EU44" s="155" t="str">
        <f>IF(EC21="","N/a",EC21*EH44)</f>
        <v>N/a</v>
      </c>
      <c r="EV44" s="157"/>
      <c r="EW44" s="157"/>
      <c r="EX44" s="157"/>
      <c r="EY44" s="157"/>
      <c r="EZ44" s="157"/>
      <c r="FA44" s="157"/>
      <c r="FB44" s="157"/>
      <c r="FC44" s="157"/>
      <c r="FD44" s="158"/>
    </row>
    <row r="45" spans="2:160" ht="15.75" thickBot="1" x14ac:dyDescent="0.3">
      <c r="B45" s="150"/>
      <c r="C45" s="151"/>
      <c r="D45" s="256" t="s">
        <v>45</v>
      </c>
      <c r="E45" s="331">
        <v>40</v>
      </c>
      <c r="F45" s="152"/>
      <c r="G45" s="153"/>
      <c r="H45" s="153"/>
      <c r="I45" s="154" t="s">
        <v>46</v>
      </c>
      <c r="J45" s="155">
        <f>IF($E$41='Category Reference Values'!$C$6,'Category Reference Values'!$F$6,IF($E$41='Category Reference Values'!$C$7,'Category Reference Values'!$F$7,IF($E$41='Category Reference Values'!$C$8,'Category Reference Values'!$F$8,IF($E$41='Category Reference Values'!$C$9,'Category Reference Values'!$F$9,IF($E$41='Category Reference Values'!$C$10,'Category Reference Values'!$F$10,IF($E$41='Category Reference Values'!$C$11,'Category Reference Values'!$F$11,"Error"))))))</f>
        <v>0</v>
      </c>
      <c r="K45" s="153"/>
      <c r="L45" s="153"/>
      <c r="M45" s="153"/>
      <c r="N45" s="153"/>
      <c r="O45" s="153"/>
      <c r="P45" s="153"/>
      <c r="Q45" s="153"/>
      <c r="R45" s="153"/>
      <c r="S45" s="153"/>
      <c r="T45" s="156"/>
      <c r="U45" s="157"/>
      <c r="V45" s="154" t="s">
        <v>47</v>
      </c>
      <c r="W45" s="155">
        <f t="shared" si="1"/>
        <v>0</v>
      </c>
      <c r="X45" s="157"/>
      <c r="Y45" s="157"/>
      <c r="Z45" s="157"/>
      <c r="AA45" s="157"/>
      <c r="AB45" s="157"/>
      <c r="AC45" s="157"/>
      <c r="AD45" s="157"/>
      <c r="AE45" s="157"/>
      <c r="AF45" s="158"/>
      <c r="AH45" s="150"/>
      <c r="AI45" s="151"/>
      <c r="AJ45" s="256" t="s">
        <v>45</v>
      </c>
      <c r="AK45" s="331">
        <v>40</v>
      </c>
      <c r="AL45" s="152"/>
      <c r="AM45" s="153"/>
      <c r="AN45" s="153"/>
      <c r="AO45" s="154" t="s">
        <v>46</v>
      </c>
      <c r="AP45" s="155">
        <f>IF(AK41='Category Reference Values'!$C$6,'Category Reference Values'!$F$6,IF(AK41='Category Reference Values'!$C$7,'Category Reference Values'!$F$7,IF(AK41='Category Reference Values'!$C$8,'Category Reference Values'!$F$8,IF(AK41='Category Reference Values'!$C$9,'Category Reference Values'!$F$9,IF(AK41='Category Reference Values'!$C$10,'Category Reference Values'!$F$10,IF(AK41='Category Reference Values'!$C$11,'Category Reference Values'!$F$11,"Error"))))))</f>
        <v>0</v>
      </c>
      <c r="AQ45" s="153"/>
      <c r="AR45" s="153"/>
      <c r="AS45" s="153"/>
      <c r="AT45" s="153"/>
      <c r="AU45" s="153"/>
      <c r="AV45" s="153"/>
      <c r="AW45" s="153"/>
      <c r="AX45" s="153"/>
      <c r="AY45" s="153"/>
      <c r="AZ45" s="156"/>
      <c r="BA45" s="157"/>
      <c r="BB45" s="154" t="s">
        <v>47</v>
      </c>
      <c r="BC45" s="155">
        <f>IF(AK21="","N/a",AK21*AP45)</f>
        <v>0</v>
      </c>
      <c r="BD45" s="157"/>
      <c r="BE45" s="157"/>
      <c r="BF45" s="157"/>
      <c r="BG45" s="157"/>
      <c r="BH45" s="157"/>
      <c r="BI45" s="157"/>
      <c r="BJ45" s="157"/>
      <c r="BK45" s="157"/>
      <c r="BL45" s="158"/>
      <c r="BN45" s="150"/>
      <c r="BO45" s="151"/>
      <c r="BP45" s="256" t="s">
        <v>45</v>
      </c>
      <c r="BQ45" s="331"/>
      <c r="BR45" s="152"/>
      <c r="BS45" s="153"/>
      <c r="BT45" s="153"/>
      <c r="BU45" s="154" t="s">
        <v>46</v>
      </c>
      <c r="BV45" s="155" t="str">
        <f>IF(BQ41='Category Reference Values'!$C$6,'Category Reference Values'!$F$6,IF(BQ41='Category Reference Values'!$C$7,'Category Reference Values'!$F$7,IF(BQ41='Category Reference Values'!$C$8,'Category Reference Values'!$F$8,IF(BQ41='Category Reference Values'!$C$9,'Category Reference Values'!$F$9,IF(BQ41='Category Reference Values'!$C$10,'Category Reference Values'!$F$10,IF(BQ41='Category Reference Values'!$C$11,'Category Reference Values'!$F$11,"Error"))))))</f>
        <v>Error</v>
      </c>
      <c r="BW45" s="153"/>
      <c r="BX45" s="153"/>
      <c r="BY45" s="153"/>
      <c r="BZ45" s="153"/>
      <c r="CA45" s="153"/>
      <c r="CB45" s="153"/>
      <c r="CC45" s="153"/>
      <c r="CD45" s="153"/>
      <c r="CE45" s="153"/>
      <c r="CF45" s="156"/>
      <c r="CG45" s="157"/>
      <c r="CH45" s="154" t="s">
        <v>47</v>
      </c>
      <c r="CI45" s="155" t="str">
        <f>IF(BQ21="","N/a",BQ21*BV45)</f>
        <v>N/a</v>
      </c>
      <c r="CJ45" s="157"/>
      <c r="CK45" s="157"/>
      <c r="CL45" s="157"/>
      <c r="CM45" s="157"/>
      <c r="CN45" s="157"/>
      <c r="CO45" s="157"/>
      <c r="CP45" s="157"/>
      <c r="CQ45" s="157"/>
      <c r="CR45" s="158"/>
      <c r="CT45" s="150"/>
      <c r="CU45" s="151"/>
      <c r="CV45" s="256" t="s">
        <v>45</v>
      </c>
      <c r="CW45" s="331"/>
      <c r="CX45" s="152"/>
      <c r="CY45" s="153"/>
      <c r="CZ45" s="153"/>
      <c r="DA45" s="154" t="s">
        <v>46</v>
      </c>
      <c r="DB45" s="155" t="str">
        <f>IF(CW41='Category Reference Values'!$C$6,'Category Reference Values'!$F$6,IF(CW41='Category Reference Values'!$C$7,'Category Reference Values'!$F$7,IF(CW41='Category Reference Values'!$C$8,'Category Reference Values'!$F$8,IF(CW41='Category Reference Values'!$C$9,'Category Reference Values'!$F$9,IF(CW41='Category Reference Values'!$C$10,'Category Reference Values'!$F$10,IF(CW41='Category Reference Values'!$C$11,'Category Reference Values'!$F$11,"Error"))))))</f>
        <v>Error</v>
      </c>
      <c r="DC45" s="153"/>
      <c r="DD45" s="153"/>
      <c r="DE45" s="153"/>
      <c r="DF45" s="153"/>
      <c r="DG45" s="153"/>
      <c r="DH45" s="153"/>
      <c r="DI45" s="153"/>
      <c r="DJ45" s="153"/>
      <c r="DK45" s="153"/>
      <c r="DL45" s="156"/>
      <c r="DM45" s="157"/>
      <c r="DN45" s="154" t="s">
        <v>47</v>
      </c>
      <c r="DO45" s="155" t="str">
        <f>IF(CW21="","N/a",CW21*DB45)</f>
        <v>N/a</v>
      </c>
      <c r="DP45" s="157"/>
      <c r="DQ45" s="157"/>
      <c r="DR45" s="157"/>
      <c r="DS45" s="157"/>
      <c r="DT45" s="157"/>
      <c r="DU45" s="157"/>
      <c r="DV45" s="157"/>
      <c r="DW45" s="157"/>
      <c r="DX45" s="158"/>
      <c r="DZ45" s="150"/>
      <c r="EA45" s="151"/>
      <c r="EB45" s="256" t="s">
        <v>45</v>
      </c>
      <c r="EC45" s="331"/>
      <c r="ED45" s="152"/>
      <c r="EE45" s="153"/>
      <c r="EF45" s="153"/>
      <c r="EG45" s="154" t="s">
        <v>46</v>
      </c>
      <c r="EH45" s="155" t="str">
        <f>IF(EC41='Category Reference Values'!$C$6,'Category Reference Values'!$F$6,IF(EC41='Category Reference Values'!$C$7,'Category Reference Values'!$F$7,IF(EC41='Category Reference Values'!$C$8,'Category Reference Values'!$F$8,IF(EC41='Category Reference Values'!$C$9,'Category Reference Values'!$F$9,IF(EC41='Category Reference Values'!$C$10,'Category Reference Values'!$F$10,IF(EC41='Category Reference Values'!$C$11,'Category Reference Values'!$F$11,"Error"))))))</f>
        <v>Error</v>
      </c>
      <c r="EI45" s="153"/>
      <c r="EJ45" s="153"/>
      <c r="EK45" s="153"/>
      <c r="EL45" s="153"/>
      <c r="EM45" s="153"/>
      <c r="EN45" s="153"/>
      <c r="EO45" s="153"/>
      <c r="EP45" s="153"/>
      <c r="EQ45" s="153"/>
      <c r="ER45" s="156"/>
      <c r="ES45" s="157"/>
      <c r="ET45" s="154" t="s">
        <v>47</v>
      </c>
      <c r="EU45" s="155" t="str">
        <f>IF(EC21="","N/a",EC21*EH45)</f>
        <v>N/a</v>
      </c>
      <c r="EV45" s="157"/>
      <c r="EW45" s="157"/>
      <c r="EX45" s="157"/>
      <c r="EY45" s="157"/>
      <c r="EZ45" s="157"/>
      <c r="FA45" s="157"/>
      <c r="FB45" s="157"/>
      <c r="FC45" s="157"/>
      <c r="FD45" s="158"/>
    </row>
    <row r="46" spans="2:160" x14ac:dyDescent="0.25">
      <c r="B46" s="150"/>
      <c r="C46" s="151"/>
      <c r="D46" s="151"/>
      <c r="E46" s="151"/>
      <c r="F46" s="152"/>
      <c r="G46" s="153"/>
      <c r="H46" s="153"/>
      <c r="I46" s="154" t="s">
        <v>48</v>
      </c>
      <c r="J46" s="155">
        <f>IF($E$11='GWP reference values'!$C$6,J45*(44/28)*'GWP reference values'!$E$6/1000,IF(Calculator!$E$11='GWP reference values'!$C$7,J45*(44/28)*'GWP reference values'!$E$7/1000,IF($E$11='GWP reference values'!$C$8,J45*(44/28)*'GWP reference values'!$E$8/1000,"Error")))</f>
        <v>0</v>
      </c>
      <c r="K46" s="153"/>
      <c r="L46" s="153"/>
      <c r="M46" s="153"/>
      <c r="N46" s="153"/>
      <c r="O46" s="153"/>
      <c r="P46" s="153"/>
      <c r="Q46" s="153"/>
      <c r="R46" s="153"/>
      <c r="S46" s="153"/>
      <c r="T46" s="156"/>
      <c r="U46" s="157"/>
      <c r="V46" s="154" t="s">
        <v>50</v>
      </c>
      <c r="W46" s="155">
        <f t="shared" si="1"/>
        <v>0</v>
      </c>
      <c r="X46" s="157"/>
      <c r="Y46" s="157"/>
      <c r="Z46" s="157"/>
      <c r="AA46" s="157"/>
      <c r="AB46" s="157"/>
      <c r="AC46" s="157"/>
      <c r="AD46" s="157"/>
      <c r="AE46" s="157"/>
      <c r="AF46" s="158"/>
      <c r="AH46" s="150"/>
      <c r="AI46" s="151"/>
      <c r="AJ46" s="151"/>
      <c r="AK46" s="151"/>
      <c r="AL46" s="152"/>
      <c r="AM46" s="153"/>
      <c r="AN46" s="153"/>
      <c r="AO46" s="154" t="s">
        <v>48</v>
      </c>
      <c r="AP46" s="155">
        <f>IF($E$11='GWP reference values'!$C$6,AP45*(44/28)*'GWP reference values'!$E$6/1000,IF(Calculator!$E$11='GWP reference values'!$C$7,AP45*(44/28)*'GWP reference values'!$E$7/1000,IF($E$11='GWP reference values'!$C$8,AP45*(44/28)*'GWP reference values'!$E$8/1000,"Error")))</f>
        <v>0</v>
      </c>
      <c r="AQ46" s="153"/>
      <c r="AR46" s="153"/>
      <c r="AS46" s="153"/>
      <c r="AT46" s="153"/>
      <c r="AU46" s="153"/>
      <c r="AV46" s="153"/>
      <c r="AW46" s="153"/>
      <c r="AX46" s="153"/>
      <c r="AY46" s="153"/>
      <c r="AZ46" s="156"/>
      <c r="BA46" s="157"/>
      <c r="BB46" s="154" t="s">
        <v>50</v>
      </c>
      <c r="BC46" s="155">
        <f>IF(AK21="","N/a",AK21*AP46)</f>
        <v>0</v>
      </c>
      <c r="BD46" s="157"/>
      <c r="BE46" s="157"/>
      <c r="BF46" s="157"/>
      <c r="BG46" s="157"/>
      <c r="BH46" s="157"/>
      <c r="BI46" s="157"/>
      <c r="BJ46" s="157"/>
      <c r="BK46" s="157"/>
      <c r="BL46" s="158"/>
      <c r="BN46" s="150"/>
      <c r="BO46" s="151"/>
      <c r="BP46" s="151"/>
      <c r="BQ46" s="151"/>
      <c r="BR46" s="152"/>
      <c r="BS46" s="153"/>
      <c r="BT46" s="153"/>
      <c r="BU46" s="154" t="s">
        <v>48</v>
      </c>
      <c r="BV46" s="155" t="e">
        <f>IF($E$11='GWP reference values'!$C$6,BV45*(44/28)*'GWP reference values'!$E$6/1000,IF(Calculator!$E$11='GWP reference values'!$C$7,BV45*(44/28)*'GWP reference values'!$E$7/1000,IF($E$11='GWP reference values'!$C$8,BV45*(44/28)*'GWP reference values'!$E$8/1000,"Error")))</f>
        <v>#VALUE!</v>
      </c>
      <c r="BW46" s="153"/>
      <c r="BX46" s="153"/>
      <c r="BY46" s="153"/>
      <c r="BZ46" s="153"/>
      <c r="CA46" s="153"/>
      <c r="CB46" s="153"/>
      <c r="CC46" s="153"/>
      <c r="CD46" s="153"/>
      <c r="CE46" s="153"/>
      <c r="CF46" s="156"/>
      <c r="CG46" s="157"/>
      <c r="CH46" s="154" t="s">
        <v>50</v>
      </c>
      <c r="CI46" s="155" t="str">
        <f>IF(BQ21="","N/a",BQ21*BV46)</f>
        <v>N/a</v>
      </c>
      <c r="CJ46" s="157"/>
      <c r="CK46" s="157"/>
      <c r="CL46" s="157"/>
      <c r="CM46" s="157"/>
      <c r="CN46" s="157"/>
      <c r="CO46" s="157"/>
      <c r="CP46" s="157"/>
      <c r="CQ46" s="157"/>
      <c r="CR46" s="158"/>
      <c r="CT46" s="150"/>
      <c r="CU46" s="151"/>
      <c r="CV46" s="151"/>
      <c r="CW46" s="151"/>
      <c r="CX46" s="152"/>
      <c r="CY46" s="153"/>
      <c r="CZ46" s="153"/>
      <c r="DA46" s="154" t="s">
        <v>48</v>
      </c>
      <c r="DB46" s="155" t="e">
        <f>IF($E$11='GWP reference values'!$C$6,DB45*(44/28)*'GWP reference values'!$E$6/1000,IF(Calculator!$E$11='GWP reference values'!$C$7,DB45*(44/28)*'GWP reference values'!$E$7/1000,IF($E$11='GWP reference values'!$C$8,DB45*(44/28)*'GWP reference values'!$E$8/1000,"Error")))</f>
        <v>#VALUE!</v>
      </c>
      <c r="DC46" s="153"/>
      <c r="DD46" s="153"/>
      <c r="DE46" s="153"/>
      <c r="DF46" s="153"/>
      <c r="DG46" s="153"/>
      <c r="DH46" s="153"/>
      <c r="DI46" s="153"/>
      <c r="DJ46" s="153"/>
      <c r="DK46" s="153"/>
      <c r="DL46" s="156"/>
      <c r="DM46" s="157"/>
      <c r="DN46" s="154" t="s">
        <v>50</v>
      </c>
      <c r="DO46" s="155" t="str">
        <f>IF(CW21="","N/a",CW21*DB46)</f>
        <v>N/a</v>
      </c>
      <c r="DP46" s="157"/>
      <c r="DQ46" s="157"/>
      <c r="DR46" s="157"/>
      <c r="DS46" s="157"/>
      <c r="DT46" s="157"/>
      <c r="DU46" s="157"/>
      <c r="DV46" s="157"/>
      <c r="DW46" s="157"/>
      <c r="DX46" s="158"/>
      <c r="DZ46" s="150"/>
      <c r="EA46" s="151"/>
      <c r="EB46" s="151"/>
      <c r="EC46" s="151"/>
      <c r="ED46" s="152"/>
      <c r="EE46" s="153"/>
      <c r="EF46" s="153"/>
      <c r="EG46" s="154" t="s">
        <v>48</v>
      </c>
      <c r="EH46" s="155" t="e">
        <f>IF($E$11='GWP reference values'!$C$6,EH45*(44/28)*'GWP reference values'!$E$6/1000,IF(Calculator!$E$11='GWP reference values'!$C$7,EH45*(44/28)*'GWP reference values'!$E$7/1000,IF($E$11='GWP reference values'!$C$8,EH45*(44/28)*'GWP reference values'!$E$8/1000,"Error")))</f>
        <v>#VALUE!</v>
      </c>
      <c r="EI46" s="153"/>
      <c r="EJ46" s="153"/>
      <c r="EK46" s="153"/>
      <c r="EL46" s="153"/>
      <c r="EM46" s="153"/>
      <c r="EN46" s="153"/>
      <c r="EO46" s="153"/>
      <c r="EP46" s="153"/>
      <c r="EQ46" s="153"/>
      <c r="ER46" s="156"/>
      <c r="ES46" s="157"/>
      <c r="ET46" s="154" t="s">
        <v>50</v>
      </c>
      <c r="EU46" s="155" t="str">
        <f>IF(EC21="","N/a",EC21*EH46)</f>
        <v>N/a</v>
      </c>
      <c r="EV46" s="157"/>
      <c r="EW46" s="157"/>
      <c r="EX46" s="157"/>
      <c r="EY46" s="157"/>
      <c r="EZ46" s="157"/>
      <c r="FA46" s="157"/>
      <c r="FB46" s="157"/>
      <c r="FC46" s="157"/>
      <c r="FD46" s="158"/>
    </row>
    <row r="47" spans="2:160" ht="15.75" thickBot="1" x14ac:dyDescent="0.3">
      <c r="B47" s="150"/>
      <c r="C47" s="151"/>
      <c r="D47" s="151"/>
      <c r="E47" s="151"/>
      <c r="F47" s="152"/>
      <c r="G47" s="153"/>
      <c r="H47" s="153"/>
      <c r="I47" s="154" t="s">
        <v>51</v>
      </c>
      <c r="J47" s="155" t="e">
        <f>SUM(J42,J44)</f>
        <v>#N/A</v>
      </c>
      <c r="K47" s="153"/>
      <c r="L47" s="153"/>
      <c r="M47" s="153"/>
      <c r="N47" s="153"/>
      <c r="O47" s="153"/>
      <c r="P47" s="153"/>
      <c r="Q47" s="153"/>
      <c r="R47" s="153"/>
      <c r="S47" s="153"/>
      <c r="T47" s="156"/>
      <c r="U47" s="157"/>
      <c r="V47" s="154" t="s">
        <v>52</v>
      </c>
      <c r="W47" s="155" t="e">
        <f t="shared" si="1"/>
        <v>#N/A</v>
      </c>
      <c r="X47" s="157"/>
      <c r="Y47" s="157"/>
      <c r="Z47" s="157"/>
      <c r="AA47" s="157"/>
      <c r="AB47" s="157"/>
      <c r="AC47" s="157"/>
      <c r="AD47" s="157"/>
      <c r="AE47" s="157"/>
      <c r="AF47" s="158"/>
      <c r="AH47" s="150"/>
      <c r="AI47" s="151"/>
      <c r="AJ47" s="151"/>
      <c r="AK47" s="151"/>
      <c r="AL47" s="152"/>
      <c r="AM47" s="153"/>
      <c r="AN47" s="153"/>
      <c r="AO47" s="154" t="s">
        <v>51</v>
      </c>
      <c r="AP47" s="155">
        <f>SUM(AP42,AP44)</f>
        <v>4.7169001494189224</v>
      </c>
      <c r="AQ47" s="153"/>
      <c r="AR47" s="153"/>
      <c r="AS47" s="153"/>
      <c r="AT47" s="153"/>
      <c r="AU47" s="153"/>
      <c r="AV47" s="153"/>
      <c r="AW47" s="153"/>
      <c r="AX47" s="153"/>
      <c r="AY47" s="153"/>
      <c r="AZ47" s="156"/>
      <c r="BA47" s="157"/>
      <c r="BB47" s="154" t="s">
        <v>52</v>
      </c>
      <c r="BC47" s="155">
        <f>IF(AK21="","N/a",AK21*AP47)</f>
        <v>47.169001494189224</v>
      </c>
      <c r="BD47" s="157"/>
      <c r="BE47" s="157"/>
      <c r="BF47" s="157"/>
      <c r="BG47" s="157"/>
      <c r="BH47" s="157"/>
      <c r="BI47" s="157"/>
      <c r="BJ47" s="157"/>
      <c r="BK47" s="157"/>
      <c r="BL47" s="158"/>
      <c r="BN47" s="150"/>
      <c r="BO47" s="151"/>
      <c r="BP47" s="151"/>
      <c r="BQ47" s="151"/>
      <c r="BR47" s="152"/>
      <c r="BS47" s="153"/>
      <c r="BT47" s="153"/>
      <c r="BU47" s="154" t="s">
        <v>51</v>
      </c>
      <c r="BV47" s="155" t="e">
        <f>SUM(BV42,BV44)</f>
        <v>#VALUE!</v>
      </c>
      <c r="BW47" s="153"/>
      <c r="BX47" s="153"/>
      <c r="BY47" s="153"/>
      <c r="BZ47" s="153"/>
      <c r="CA47" s="153"/>
      <c r="CB47" s="153"/>
      <c r="CC47" s="153"/>
      <c r="CD47" s="153"/>
      <c r="CE47" s="153"/>
      <c r="CF47" s="156"/>
      <c r="CG47" s="157"/>
      <c r="CH47" s="154" t="s">
        <v>52</v>
      </c>
      <c r="CI47" s="155" t="str">
        <f>IF(BQ21="","N/a",BQ21*BV47)</f>
        <v>N/a</v>
      </c>
      <c r="CJ47" s="157"/>
      <c r="CK47" s="157"/>
      <c r="CL47" s="157"/>
      <c r="CM47" s="157"/>
      <c r="CN47" s="157"/>
      <c r="CO47" s="157"/>
      <c r="CP47" s="157"/>
      <c r="CQ47" s="157"/>
      <c r="CR47" s="158"/>
      <c r="CT47" s="150"/>
      <c r="CU47" s="151"/>
      <c r="CV47" s="151"/>
      <c r="CW47" s="151"/>
      <c r="CX47" s="152"/>
      <c r="CY47" s="153"/>
      <c r="CZ47" s="153"/>
      <c r="DA47" s="154" t="s">
        <v>51</v>
      </c>
      <c r="DB47" s="155" t="e">
        <f>SUM(DB42,DB44)</f>
        <v>#VALUE!</v>
      </c>
      <c r="DC47" s="153"/>
      <c r="DD47" s="153"/>
      <c r="DE47" s="153"/>
      <c r="DF47" s="153"/>
      <c r="DG47" s="153"/>
      <c r="DH47" s="153"/>
      <c r="DI47" s="153"/>
      <c r="DJ47" s="153"/>
      <c r="DK47" s="153"/>
      <c r="DL47" s="156"/>
      <c r="DM47" s="157"/>
      <c r="DN47" s="154" t="s">
        <v>52</v>
      </c>
      <c r="DO47" s="155" t="str">
        <f>IF(CW21="","N/a",CW21*DB47)</f>
        <v>N/a</v>
      </c>
      <c r="DP47" s="157"/>
      <c r="DQ47" s="157"/>
      <c r="DR47" s="157"/>
      <c r="DS47" s="157"/>
      <c r="DT47" s="157"/>
      <c r="DU47" s="157"/>
      <c r="DV47" s="157"/>
      <c r="DW47" s="157"/>
      <c r="DX47" s="158"/>
      <c r="DZ47" s="150"/>
      <c r="EA47" s="151"/>
      <c r="EB47" s="151"/>
      <c r="EC47" s="151"/>
      <c r="ED47" s="152"/>
      <c r="EE47" s="153"/>
      <c r="EF47" s="153"/>
      <c r="EG47" s="154" t="s">
        <v>51</v>
      </c>
      <c r="EH47" s="155" t="e">
        <f>SUM(EH42,EH44)</f>
        <v>#VALUE!</v>
      </c>
      <c r="EI47" s="153"/>
      <c r="EJ47" s="153"/>
      <c r="EK47" s="153"/>
      <c r="EL47" s="153"/>
      <c r="EM47" s="153"/>
      <c r="EN47" s="153"/>
      <c r="EO47" s="153"/>
      <c r="EP47" s="153"/>
      <c r="EQ47" s="153"/>
      <c r="ER47" s="156"/>
      <c r="ES47" s="157"/>
      <c r="ET47" s="154" t="s">
        <v>52</v>
      </c>
      <c r="EU47" s="155" t="str">
        <f>IF(EC21="","N/a",EC21*EH47)</f>
        <v>N/a</v>
      </c>
      <c r="EV47" s="157"/>
      <c r="EW47" s="157"/>
      <c r="EX47" s="157"/>
      <c r="EY47" s="157"/>
      <c r="EZ47" s="157"/>
      <c r="FA47" s="157"/>
      <c r="FB47" s="157"/>
      <c r="FC47" s="157"/>
      <c r="FD47" s="158"/>
    </row>
    <row r="48" spans="2:160" ht="21.75" thickBot="1" x14ac:dyDescent="0.4">
      <c r="B48" s="150"/>
      <c r="C48" s="151"/>
      <c r="D48" s="151"/>
      <c r="E48" s="151"/>
      <c r="F48" s="152"/>
      <c r="G48" s="153"/>
      <c r="H48" s="153"/>
      <c r="I48" s="160" t="s">
        <v>53</v>
      </c>
      <c r="J48" s="161" t="e">
        <f>SUM(J42,J44,J46)</f>
        <v>#N/A</v>
      </c>
      <c r="K48" s="162" t="s">
        <v>54</v>
      </c>
      <c r="L48" s="153"/>
      <c r="M48" s="153"/>
      <c r="N48" s="153"/>
      <c r="O48" s="153"/>
      <c r="P48" s="153"/>
      <c r="Q48" s="153"/>
      <c r="R48" s="153"/>
      <c r="S48" s="153"/>
      <c r="T48" s="156"/>
      <c r="U48" s="157"/>
      <c r="V48" s="160" t="s">
        <v>56</v>
      </c>
      <c r="W48" s="161" t="e">
        <f t="shared" si="1"/>
        <v>#N/A</v>
      </c>
      <c r="X48" s="163" t="s">
        <v>54</v>
      </c>
      <c r="Y48" s="157"/>
      <c r="Z48" s="157"/>
      <c r="AA48" s="157"/>
      <c r="AB48" s="157"/>
      <c r="AC48" s="157"/>
      <c r="AD48" s="157"/>
      <c r="AE48" s="157"/>
      <c r="AF48" s="158"/>
      <c r="AH48" s="150"/>
      <c r="AI48" s="151"/>
      <c r="AJ48" s="151"/>
      <c r="AK48" s="151"/>
      <c r="AL48" s="152"/>
      <c r="AM48" s="153"/>
      <c r="AN48" s="153"/>
      <c r="AO48" s="160" t="s">
        <v>53</v>
      </c>
      <c r="AP48" s="161">
        <f>SUM(AP42,AP44,AP46)</f>
        <v>4.7169001494189224</v>
      </c>
      <c r="AQ48" s="162" t="s">
        <v>54</v>
      </c>
      <c r="AR48" s="153"/>
      <c r="AS48" s="153"/>
      <c r="AT48" s="153"/>
      <c r="AU48" s="153"/>
      <c r="AV48" s="153"/>
      <c r="AW48" s="153"/>
      <c r="AX48" s="153"/>
      <c r="AY48" s="153"/>
      <c r="AZ48" s="156"/>
      <c r="BA48" s="157"/>
      <c r="BB48" s="160" t="s">
        <v>56</v>
      </c>
      <c r="BC48" s="161">
        <f>IF(AK21="","N/a",AK21*AP48)</f>
        <v>47.169001494189224</v>
      </c>
      <c r="BD48" s="163" t="s">
        <v>54</v>
      </c>
      <c r="BE48" s="157"/>
      <c r="BF48" s="157"/>
      <c r="BG48" s="157"/>
      <c r="BH48" s="157"/>
      <c r="BI48" s="157"/>
      <c r="BJ48" s="157"/>
      <c r="BK48" s="157"/>
      <c r="BL48" s="158"/>
      <c r="BN48" s="150"/>
      <c r="BO48" s="151"/>
      <c r="BP48" s="151"/>
      <c r="BQ48" s="151"/>
      <c r="BR48" s="152"/>
      <c r="BS48" s="153"/>
      <c r="BT48" s="153"/>
      <c r="BU48" s="160" t="s">
        <v>53</v>
      </c>
      <c r="BV48" s="161" t="e">
        <f>SUM(BV42,BV44,BV46)</f>
        <v>#VALUE!</v>
      </c>
      <c r="BW48" s="162" t="s">
        <v>54</v>
      </c>
      <c r="BX48" s="153"/>
      <c r="BY48" s="153"/>
      <c r="BZ48" s="153"/>
      <c r="CA48" s="153"/>
      <c r="CB48" s="153"/>
      <c r="CC48" s="153"/>
      <c r="CD48" s="153"/>
      <c r="CE48" s="153"/>
      <c r="CF48" s="156"/>
      <c r="CG48" s="157"/>
      <c r="CH48" s="160" t="s">
        <v>56</v>
      </c>
      <c r="CI48" s="161" t="str">
        <f>IF(BQ21="","N/a",BQ21*BV48)</f>
        <v>N/a</v>
      </c>
      <c r="CJ48" s="163" t="s">
        <v>54</v>
      </c>
      <c r="CK48" s="157"/>
      <c r="CL48" s="157"/>
      <c r="CM48" s="157"/>
      <c r="CN48" s="157"/>
      <c r="CO48" s="157"/>
      <c r="CP48" s="157"/>
      <c r="CQ48" s="157"/>
      <c r="CR48" s="158"/>
      <c r="CT48" s="150"/>
      <c r="CU48" s="151"/>
      <c r="CV48" s="151"/>
      <c r="CW48" s="151"/>
      <c r="CX48" s="152"/>
      <c r="CY48" s="153"/>
      <c r="CZ48" s="153"/>
      <c r="DA48" s="160" t="s">
        <v>53</v>
      </c>
      <c r="DB48" s="161" t="e">
        <f>SUM(DB42,DB44,DB46)</f>
        <v>#VALUE!</v>
      </c>
      <c r="DC48" s="162" t="s">
        <v>54</v>
      </c>
      <c r="DD48" s="153"/>
      <c r="DE48" s="153"/>
      <c r="DF48" s="153"/>
      <c r="DG48" s="153"/>
      <c r="DH48" s="153"/>
      <c r="DI48" s="153"/>
      <c r="DJ48" s="153"/>
      <c r="DK48" s="153"/>
      <c r="DL48" s="156"/>
      <c r="DM48" s="157"/>
      <c r="DN48" s="160" t="s">
        <v>56</v>
      </c>
      <c r="DO48" s="161" t="str">
        <f>IF(CW21="","N/a",CW21*DB48)</f>
        <v>N/a</v>
      </c>
      <c r="DP48" s="163" t="s">
        <v>54</v>
      </c>
      <c r="DQ48" s="157"/>
      <c r="DR48" s="157"/>
      <c r="DS48" s="157"/>
      <c r="DT48" s="157"/>
      <c r="DU48" s="157"/>
      <c r="DV48" s="157"/>
      <c r="DW48" s="157"/>
      <c r="DX48" s="158"/>
      <c r="DZ48" s="150"/>
      <c r="EA48" s="151"/>
      <c r="EB48" s="151"/>
      <c r="EC48" s="151"/>
      <c r="ED48" s="152"/>
      <c r="EE48" s="153"/>
      <c r="EF48" s="153"/>
      <c r="EG48" s="160" t="s">
        <v>53</v>
      </c>
      <c r="EH48" s="161" t="e">
        <f>SUM(EH42,EH44,EH46)</f>
        <v>#VALUE!</v>
      </c>
      <c r="EI48" s="162" t="s">
        <v>54</v>
      </c>
      <c r="EJ48" s="153"/>
      <c r="EK48" s="153"/>
      <c r="EL48" s="153"/>
      <c r="EM48" s="153"/>
      <c r="EN48" s="153"/>
      <c r="EO48" s="153"/>
      <c r="EP48" s="153"/>
      <c r="EQ48" s="153"/>
      <c r="ER48" s="156"/>
      <c r="ES48" s="157"/>
      <c r="ET48" s="160" t="s">
        <v>56</v>
      </c>
      <c r="EU48" s="161" t="str">
        <f>IF(EC21="","N/a",EC21*EH48)</f>
        <v>N/a</v>
      </c>
      <c r="EV48" s="163" t="s">
        <v>54</v>
      </c>
      <c r="EW48" s="157"/>
      <c r="EX48" s="157"/>
      <c r="EY48" s="157"/>
      <c r="EZ48" s="157"/>
      <c r="FA48" s="157"/>
      <c r="FB48" s="157"/>
      <c r="FC48" s="157"/>
      <c r="FD48" s="158"/>
    </row>
    <row r="49" spans="2:160" ht="15.75" thickBot="1" x14ac:dyDescent="0.3">
      <c r="B49" s="164"/>
      <c r="C49" s="165"/>
      <c r="D49" s="165"/>
      <c r="E49" s="165"/>
      <c r="F49" s="166"/>
      <c r="G49" s="167"/>
      <c r="H49" s="167"/>
      <c r="I49" s="167"/>
      <c r="J49" s="167"/>
      <c r="K49" s="167"/>
      <c r="L49" s="167"/>
      <c r="M49" s="167"/>
      <c r="N49" s="167"/>
      <c r="O49" s="167"/>
      <c r="P49" s="167"/>
      <c r="Q49" s="167"/>
      <c r="R49" s="167"/>
      <c r="S49" s="167"/>
      <c r="T49" s="168"/>
      <c r="U49" s="169"/>
      <c r="V49" s="169"/>
      <c r="W49" s="169"/>
      <c r="X49" s="169"/>
      <c r="Y49" s="169"/>
      <c r="Z49" s="169"/>
      <c r="AA49" s="169"/>
      <c r="AB49" s="169"/>
      <c r="AC49" s="169"/>
      <c r="AD49" s="169"/>
      <c r="AE49" s="169"/>
      <c r="AF49" s="170"/>
      <c r="AH49" s="164"/>
      <c r="AI49" s="165"/>
      <c r="AJ49" s="165"/>
      <c r="AK49" s="165"/>
      <c r="AL49" s="166"/>
      <c r="AM49" s="167"/>
      <c r="AN49" s="167"/>
      <c r="AO49" s="167"/>
      <c r="AP49" s="167"/>
      <c r="AQ49" s="167"/>
      <c r="AR49" s="167"/>
      <c r="AS49" s="167"/>
      <c r="AT49" s="167"/>
      <c r="AU49" s="167"/>
      <c r="AV49" s="167"/>
      <c r="AW49" s="167"/>
      <c r="AX49" s="167"/>
      <c r="AY49" s="167"/>
      <c r="AZ49" s="168"/>
      <c r="BA49" s="169"/>
      <c r="BB49" s="169"/>
      <c r="BC49" s="169"/>
      <c r="BD49" s="169"/>
      <c r="BE49" s="169"/>
      <c r="BF49" s="169"/>
      <c r="BG49" s="169"/>
      <c r="BH49" s="169"/>
      <c r="BI49" s="169"/>
      <c r="BJ49" s="169"/>
      <c r="BK49" s="169"/>
      <c r="BL49" s="170"/>
      <c r="BN49" s="164"/>
      <c r="BO49" s="165"/>
      <c r="BP49" s="165"/>
      <c r="BQ49" s="165"/>
      <c r="BR49" s="166"/>
      <c r="BS49" s="167"/>
      <c r="BT49" s="167"/>
      <c r="BU49" s="167"/>
      <c r="BV49" s="167"/>
      <c r="BW49" s="167"/>
      <c r="BX49" s="167"/>
      <c r="BY49" s="167"/>
      <c r="BZ49" s="167"/>
      <c r="CA49" s="167"/>
      <c r="CB49" s="167"/>
      <c r="CC49" s="167"/>
      <c r="CD49" s="167"/>
      <c r="CE49" s="167"/>
      <c r="CF49" s="168"/>
      <c r="CG49" s="169"/>
      <c r="CH49" s="169"/>
      <c r="CI49" s="169"/>
      <c r="CJ49" s="169"/>
      <c r="CK49" s="169"/>
      <c r="CL49" s="169"/>
      <c r="CM49" s="169"/>
      <c r="CN49" s="169"/>
      <c r="CO49" s="169"/>
      <c r="CP49" s="169"/>
      <c r="CQ49" s="169"/>
      <c r="CR49" s="170"/>
      <c r="CT49" s="164"/>
      <c r="CU49" s="165"/>
      <c r="CV49" s="165"/>
      <c r="CW49" s="165"/>
      <c r="CX49" s="166"/>
      <c r="CY49" s="167"/>
      <c r="CZ49" s="167"/>
      <c r="DA49" s="167"/>
      <c r="DB49" s="167"/>
      <c r="DC49" s="167"/>
      <c r="DD49" s="167"/>
      <c r="DE49" s="167"/>
      <c r="DF49" s="167"/>
      <c r="DG49" s="167"/>
      <c r="DH49" s="167"/>
      <c r="DI49" s="167"/>
      <c r="DJ49" s="167"/>
      <c r="DK49" s="167"/>
      <c r="DL49" s="168"/>
      <c r="DM49" s="169"/>
      <c r="DN49" s="169"/>
      <c r="DO49" s="169"/>
      <c r="DP49" s="169"/>
      <c r="DQ49" s="169"/>
      <c r="DR49" s="169"/>
      <c r="DS49" s="169"/>
      <c r="DT49" s="169"/>
      <c r="DU49" s="169"/>
      <c r="DV49" s="169"/>
      <c r="DW49" s="169"/>
      <c r="DX49" s="170"/>
      <c r="DZ49" s="164"/>
      <c r="EA49" s="165"/>
      <c r="EB49" s="165"/>
      <c r="EC49" s="165"/>
      <c r="ED49" s="166"/>
      <c r="EE49" s="167"/>
      <c r="EF49" s="167"/>
      <c r="EG49" s="167"/>
      <c r="EH49" s="167"/>
      <c r="EI49" s="167"/>
      <c r="EJ49" s="167"/>
      <c r="EK49" s="167"/>
      <c r="EL49" s="167"/>
      <c r="EM49" s="167"/>
      <c r="EN49" s="167"/>
      <c r="EO49" s="167"/>
      <c r="EP49" s="167"/>
      <c r="EQ49" s="167"/>
      <c r="ER49" s="168"/>
      <c r="ES49" s="169"/>
      <c r="ET49" s="169"/>
      <c r="EU49" s="169"/>
      <c r="EV49" s="169"/>
      <c r="EW49" s="169"/>
      <c r="EX49" s="169"/>
      <c r="EY49" s="169"/>
      <c r="EZ49" s="169"/>
      <c r="FA49" s="169"/>
      <c r="FB49" s="169"/>
      <c r="FC49" s="169"/>
      <c r="FD49" s="170"/>
    </row>
    <row r="50" spans="2:160" ht="15.75" thickBot="1" x14ac:dyDescent="0.3">
      <c r="B50" s="171"/>
      <c r="C50" s="172"/>
      <c r="D50" s="172"/>
      <c r="E50" s="172"/>
      <c r="F50" s="173"/>
      <c r="G50" s="174"/>
      <c r="H50" s="175"/>
      <c r="I50" s="175"/>
      <c r="J50" s="175"/>
      <c r="K50" s="175"/>
      <c r="L50" s="175"/>
      <c r="M50" s="175"/>
      <c r="N50" s="175"/>
      <c r="O50" s="175"/>
      <c r="P50" s="175"/>
      <c r="Q50" s="175"/>
      <c r="R50" s="175"/>
      <c r="S50" s="175"/>
      <c r="T50" s="176"/>
      <c r="U50" s="177"/>
      <c r="V50" s="177"/>
      <c r="W50" s="177"/>
      <c r="X50" s="177"/>
      <c r="Y50" s="177"/>
      <c r="Z50" s="177"/>
      <c r="AA50" s="177"/>
      <c r="AB50" s="177"/>
      <c r="AC50" s="177"/>
      <c r="AD50" s="177"/>
      <c r="AE50" s="177"/>
      <c r="AF50" s="178"/>
      <c r="AH50" s="171"/>
      <c r="AI50" s="172"/>
      <c r="AJ50" s="172"/>
      <c r="AK50" s="172"/>
      <c r="AL50" s="173"/>
      <c r="AM50" s="174"/>
      <c r="AN50" s="175"/>
      <c r="AO50" s="175"/>
      <c r="AP50" s="175"/>
      <c r="AQ50" s="175"/>
      <c r="AR50" s="175"/>
      <c r="AS50" s="175"/>
      <c r="AT50" s="175"/>
      <c r="AU50" s="175"/>
      <c r="AV50" s="175"/>
      <c r="AW50" s="175"/>
      <c r="AX50" s="175"/>
      <c r="AY50" s="175"/>
      <c r="AZ50" s="176"/>
      <c r="BA50" s="177"/>
      <c r="BB50" s="177"/>
      <c r="BC50" s="177"/>
      <c r="BD50" s="177"/>
      <c r="BE50" s="177"/>
      <c r="BF50" s="177"/>
      <c r="BG50" s="177"/>
      <c r="BH50" s="177"/>
      <c r="BI50" s="177"/>
      <c r="BJ50" s="177"/>
      <c r="BK50" s="177"/>
      <c r="BL50" s="178"/>
      <c r="BN50" s="171"/>
      <c r="BO50" s="172"/>
      <c r="BP50" s="172"/>
      <c r="BQ50" s="172"/>
      <c r="BR50" s="173"/>
      <c r="BS50" s="174"/>
      <c r="BT50" s="175"/>
      <c r="BU50" s="175"/>
      <c r="BV50" s="175"/>
      <c r="BW50" s="175"/>
      <c r="BX50" s="175"/>
      <c r="BY50" s="175"/>
      <c r="BZ50" s="175"/>
      <c r="CA50" s="175"/>
      <c r="CB50" s="175"/>
      <c r="CC50" s="175"/>
      <c r="CD50" s="175"/>
      <c r="CE50" s="175"/>
      <c r="CF50" s="176"/>
      <c r="CG50" s="177"/>
      <c r="CH50" s="177"/>
      <c r="CI50" s="177"/>
      <c r="CJ50" s="177"/>
      <c r="CK50" s="177"/>
      <c r="CL50" s="177"/>
      <c r="CM50" s="177"/>
      <c r="CN50" s="177"/>
      <c r="CO50" s="177"/>
      <c r="CP50" s="177"/>
      <c r="CQ50" s="177"/>
      <c r="CR50" s="178"/>
      <c r="CT50" s="171"/>
      <c r="CU50" s="172"/>
      <c r="CV50" s="172"/>
      <c r="CW50" s="172"/>
      <c r="CX50" s="173"/>
      <c r="CY50" s="174"/>
      <c r="CZ50" s="175"/>
      <c r="DA50" s="175"/>
      <c r="DB50" s="175"/>
      <c r="DC50" s="175"/>
      <c r="DD50" s="175"/>
      <c r="DE50" s="175"/>
      <c r="DF50" s="175"/>
      <c r="DG50" s="175"/>
      <c r="DH50" s="175"/>
      <c r="DI50" s="175"/>
      <c r="DJ50" s="175"/>
      <c r="DK50" s="175"/>
      <c r="DL50" s="176"/>
      <c r="DM50" s="177"/>
      <c r="DN50" s="177"/>
      <c r="DO50" s="177"/>
      <c r="DP50" s="177"/>
      <c r="DQ50" s="177"/>
      <c r="DR50" s="177"/>
      <c r="DS50" s="177"/>
      <c r="DT50" s="177"/>
      <c r="DU50" s="177"/>
      <c r="DV50" s="177"/>
      <c r="DW50" s="177"/>
      <c r="DX50" s="178"/>
      <c r="DZ50" s="171"/>
      <c r="EA50" s="172"/>
      <c r="EB50" s="172"/>
      <c r="EC50" s="172"/>
      <c r="ED50" s="173"/>
      <c r="EE50" s="174"/>
      <c r="EF50" s="175"/>
      <c r="EG50" s="175"/>
      <c r="EH50" s="175"/>
      <c r="EI50" s="175"/>
      <c r="EJ50" s="175"/>
      <c r="EK50" s="175"/>
      <c r="EL50" s="175"/>
      <c r="EM50" s="175"/>
      <c r="EN50" s="175"/>
      <c r="EO50" s="175"/>
      <c r="EP50" s="175"/>
      <c r="EQ50" s="175"/>
      <c r="ER50" s="176"/>
      <c r="ES50" s="177"/>
      <c r="ET50" s="177"/>
      <c r="EU50" s="177"/>
      <c r="EV50" s="177"/>
      <c r="EW50" s="177"/>
      <c r="EX50" s="177"/>
      <c r="EY50" s="177"/>
      <c r="EZ50" s="177"/>
      <c r="FA50" s="177"/>
      <c r="FB50" s="177"/>
      <c r="FC50" s="177"/>
      <c r="FD50" s="178"/>
    </row>
    <row r="51" spans="2:160" ht="21.75" thickBot="1" x14ac:dyDescent="0.4">
      <c r="B51" s="179"/>
      <c r="C51" s="180"/>
      <c r="D51" s="374" t="s">
        <v>59</v>
      </c>
      <c r="E51" s="375"/>
      <c r="F51" s="181"/>
      <c r="G51" s="182"/>
      <c r="H51" s="183"/>
      <c r="I51" s="374" t="s">
        <v>60</v>
      </c>
      <c r="J51" s="375"/>
      <c r="K51" s="184"/>
      <c r="L51" s="184"/>
      <c r="M51" s="184"/>
      <c r="N51" s="184"/>
      <c r="O51" s="184"/>
      <c r="P51" s="184"/>
      <c r="Q51" s="184"/>
      <c r="R51" s="183" t="s">
        <v>29</v>
      </c>
      <c r="S51" s="184"/>
      <c r="T51" s="185" t="s">
        <v>29</v>
      </c>
      <c r="U51" s="186"/>
      <c r="V51" s="374" t="str">
        <f>IF($E$16="","Change in emissions (AU area)",CONCATENATE("Change in emissions (",$E$16," ha)"))</f>
        <v>Change in emissions (10 ha)</v>
      </c>
      <c r="W51" s="375"/>
      <c r="X51" s="186"/>
      <c r="Y51" s="177"/>
      <c r="Z51" s="177"/>
      <c r="AA51" s="177"/>
      <c r="AB51" s="177"/>
      <c r="AC51" s="177"/>
      <c r="AD51" s="177"/>
      <c r="AE51" s="177"/>
      <c r="AF51" s="178"/>
      <c r="AH51" s="179"/>
      <c r="AI51" s="180"/>
      <c r="AJ51" s="374" t="s">
        <v>61</v>
      </c>
      <c r="AK51" s="375"/>
      <c r="AL51" s="181"/>
      <c r="AM51" s="182"/>
      <c r="AN51" s="183"/>
      <c r="AO51" s="374" t="s">
        <v>60</v>
      </c>
      <c r="AP51" s="375"/>
      <c r="AQ51" s="184"/>
      <c r="AR51" s="184"/>
      <c r="AS51" s="184"/>
      <c r="AT51" s="184"/>
      <c r="AU51" s="184"/>
      <c r="AV51" s="184"/>
      <c r="AW51" s="184"/>
      <c r="AX51" s="183" t="s">
        <v>29</v>
      </c>
      <c r="AY51" s="184"/>
      <c r="AZ51" s="185" t="s">
        <v>29</v>
      </c>
      <c r="BA51" s="186"/>
      <c r="BB51" s="374" t="str">
        <f>IF(AK21="","Change in emissions (AU area)",CONCATENATE("Change in emissions (",AK21," ha)"))</f>
        <v>Change in emissions (10 ha)</v>
      </c>
      <c r="BC51" s="375"/>
      <c r="BD51" s="186"/>
      <c r="BE51" s="177"/>
      <c r="BF51" s="177"/>
      <c r="BG51" s="177"/>
      <c r="BH51" s="177"/>
      <c r="BI51" s="177"/>
      <c r="BJ51" s="177"/>
      <c r="BK51" s="177"/>
      <c r="BL51" s="178"/>
      <c r="BN51" s="179"/>
      <c r="BO51" s="180"/>
      <c r="BP51" s="374" t="s">
        <v>62</v>
      </c>
      <c r="BQ51" s="375"/>
      <c r="BR51" s="181"/>
      <c r="BS51" s="182"/>
      <c r="BT51" s="183"/>
      <c r="BU51" s="374" t="s">
        <v>60</v>
      </c>
      <c r="BV51" s="375"/>
      <c r="BW51" s="184"/>
      <c r="BX51" s="184"/>
      <c r="BY51" s="184"/>
      <c r="BZ51" s="184"/>
      <c r="CA51" s="184"/>
      <c r="CB51" s="184"/>
      <c r="CC51" s="184"/>
      <c r="CD51" s="183" t="s">
        <v>29</v>
      </c>
      <c r="CE51" s="184"/>
      <c r="CF51" s="185" t="s">
        <v>29</v>
      </c>
      <c r="CG51" s="186"/>
      <c r="CH51" s="374" t="str">
        <f>IF(BQ21="","Change in emissions (AU area)",CONCATENATE("Change in emissions (",BQ21," ha)"))</f>
        <v>Change in emissions (AU area)</v>
      </c>
      <c r="CI51" s="375"/>
      <c r="CJ51" s="186"/>
      <c r="CK51" s="177"/>
      <c r="CL51" s="177"/>
      <c r="CM51" s="177"/>
      <c r="CN51" s="177"/>
      <c r="CO51" s="177"/>
      <c r="CP51" s="177"/>
      <c r="CQ51" s="177"/>
      <c r="CR51" s="178"/>
      <c r="CT51" s="179"/>
      <c r="CU51" s="180"/>
      <c r="CV51" s="374" t="s">
        <v>63</v>
      </c>
      <c r="CW51" s="375"/>
      <c r="CX51" s="181"/>
      <c r="CY51" s="182"/>
      <c r="CZ51" s="183"/>
      <c r="DA51" s="374" t="s">
        <v>60</v>
      </c>
      <c r="DB51" s="375"/>
      <c r="DC51" s="184"/>
      <c r="DD51" s="184"/>
      <c r="DE51" s="184"/>
      <c r="DF51" s="184"/>
      <c r="DG51" s="184"/>
      <c r="DH51" s="184"/>
      <c r="DI51" s="184"/>
      <c r="DJ51" s="183" t="s">
        <v>29</v>
      </c>
      <c r="DK51" s="184"/>
      <c r="DL51" s="185" t="s">
        <v>29</v>
      </c>
      <c r="DM51" s="186"/>
      <c r="DN51" s="374" t="str">
        <f>IF(CW21="","Change in emissions (AU area)",CONCATENATE("Change in emissions (",CW21," ha)"))</f>
        <v>Change in emissions (AU area)</v>
      </c>
      <c r="DO51" s="375"/>
      <c r="DP51" s="186"/>
      <c r="DQ51" s="177"/>
      <c r="DR51" s="177"/>
      <c r="DS51" s="177"/>
      <c r="DT51" s="177"/>
      <c r="DU51" s="177"/>
      <c r="DV51" s="177"/>
      <c r="DW51" s="177"/>
      <c r="DX51" s="178"/>
      <c r="DZ51" s="179"/>
      <c r="EA51" s="180"/>
      <c r="EB51" s="374" t="s">
        <v>64</v>
      </c>
      <c r="EC51" s="375"/>
      <c r="ED51" s="181"/>
      <c r="EE51" s="182"/>
      <c r="EF51" s="183"/>
      <c r="EG51" s="374" t="s">
        <v>60</v>
      </c>
      <c r="EH51" s="375"/>
      <c r="EI51" s="184"/>
      <c r="EJ51" s="184"/>
      <c r="EK51" s="184"/>
      <c r="EL51" s="184"/>
      <c r="EM51" s="184"/>
      <c r="EN51" s="184"/>
      <c r="EO51" s="184"/>
      <c r="EP51" s="183" t="s">
        <v>29</v>
      </c>
      <c r="EQ51" s="184"/>
      <c r="ER51" s="185" t="s">
        <v>29</v>
      </c>
      <c r="ES51" s="186"/>
      <c r="ET51" s="374" t="str">
        <f>IF(EC21="","Change in emissions (AU area)",CONCATENATE("Change in emissions (",EC21," ha)"))</f>
        <v>Change in emissions (AU area)</v>
      </c>
      <c r="EU51" s="375"/>
      <c r="EV51" s="186"/>
      <c r="EW51" s="177"/>
      <c r="EX51" s="177"/>
      <c r="EY51" s="177"/>
      <c r="EZ51" s="177"/>
      <c r="FA51" s="177"/>
      <c r="FB51" s="177"/>
      <c r="FC51" s="177"/>
      <c r="FD51" s="178"/>
    </row>
    <row r="52" spans="2:160" ht="15.75" thickBot="1" x14ac:dyDescent="0.3">
      <c r="B52" s="179"/>
      <c r="C52" s="180"/>
      <c r="D52" s="180"/>
      <c r="E52" s="180"/>
      <c r="F52" s="187"/>
      <c r="G52" s="188"/>
      <c r="H52" s="184"/>
      <c r="I52" s="184"/>
      <c r="J52" s="184"/>
      <c r="K52" s="184"/>
      <c r="L52" s="184"/>
      <c r="M52" s="184"/>
      <c r="N52" s="184"/>
      <c r="O52" s="184"/>
      <c r="P52" s="184"/>
      <c r="Q52" s="184"/>
      <c r="R52" s="184"/>
      <c r="S52" s="184"/>
      <c r="T52" s="176"/>
      <c r="U52" s="177"/>
      <c r="V52" s="177"/>
      <c r="W52" s="177"/>
      <c r="X52" s="177"/>
      <c r="Y52" s="177"/>
      <c r="Z52" s="177"/>
      <c r="AA52" s="177"/>
      <c r="AB52" s="177"/>
      <c r="AC52" s="177"/>
      <c r="AD52" s="177"/>
      <c r="AE52" s="177"/>
      <c r="AF52" s="178"/>
      <c r="AH52" s="179"/>
      <c r="AI52" s="180"/>
      <c r="AJ52" s="180"/>
      <c r="AK52" s="180"/>
      <c r="AL52" s="187"/>
      <c r="AM52" s="188"/>
      <c r="AN52" s="184"/>
      <c r="AO52" s="184"/>
      <c r="AP52" s="184"/>
      <c r="AQ52" s="184"/>
      <c r="AR52" s="184"/>
      <c r="AS52" s="184"/>
      <c r="AT52" s="184"/>
      <c r="AU52" s="184"/>
      <c r="AV52" s="184"/>
      <c r="AW52" s="184"/>
      <c r="AX52" s="184"/>
      <c r="AY52" s="184"/>
      <c r="AZ52" s="176"/>
      <c r="BA52" s="177"/>
      <c r="BB52" s="177"/>
      <c r="BC52" s="177"/>
      <c r="BD52" s="177"/>
      <c r="BE52" s="177"/>
      <c r="BF52" s="177"/>
      <c r="BG52" s="177"/>
      <c r="BH52" s="177"/>
      <c r="BI52" s="177"/>
      <c r="BJ52" s="177"/>
      <c r="BK52" s="177"/>
      <c r="BL52" s="178"/>
      <c r="BN52" s="179"/>
      <c r="BO52" s="180"/>
      <c r="BP52" s="180"/>
      <c r="BQ52" s="180"/>
      <c r="BR52" s="187"/>
      <c r="BS52" s="188"/>
      <c r="BT52" s="184"/>
      <c r="BU52" s="184"/>
      <c r="BV52" s="184"/>
      <c r="BW52" s="184"/>
      <c r="BX52" s="184"/>
      <c r="BY52" s="184"/>
      <c r="BZ52" s="184"/>
      <c r="CA52" s="184"/>
      <c r="CB52" s="184"/>
      <c r="CC52" s="184"/>
      <c r="CD52" s="184"/>
      <c r="CE52" s="184"/>
      <c r="CF52" s="176"/>
      <c r="CG52" s="177"/>
      <c r="CH52" s="177"/>
      <c r="CI52" s="177"/>
      <c r="CJ52" s="177"/>
      <c r="CK52" s="177"/>
      <c r="CL52" s="177"/>
      <c r="CM52" s="177"/>
      <c r="CN52" s="177"/>
      <c r="CO52" s="177"/>
      <c r="CP52" s="177"/>
      <c r="CQ52" s="177"/>
      <c r="CR52" s="178"/>
      <c r="CT52" s="179"/>
      <c r="CU52" s="180"/>
      <c r="CV52" s="180"/>
      <c r="CW52" s="180"/>
      <c r="CX52" s="187"/>
      <c r="CY52" s="188"/>
      <c r="CZ52" s="184"/>
      <c r="DA52" s="184"/>
      <c r="DB52" s="184"/>
      <c r="DC52" s="184"/>
      <c r="DD52" s="184"/>
      <c r="DE52" s="184"/>
      <c r="DF52" s="184"/>
      <c r="DG52" s="184"/>
      <c r="DH52" s="184"/>
      <c r="DI52" s="184"/>
      <c r="DJ52" s="184"/>
      <c r="DK52" s="184"/>
      <c r="DL52" s="176"/>
      <c r="DM52" s="177"/>
      <c r="DN52" s="177"/>
      <c r="DO52" s="177"/>
      <c r="DP52" s="177"/>
      <c r="DQ52" s="177"/>
      <c r="DR52" s="177"/>
      <c r="DS52" s="177"/>
      <c r="DT52" s="177"/>
      <c r="DU52" s="177"/>
      <c r="DV52" s="177"/>
      <c r="DW52" s="177"/>
      <c r="DX52" s="178"/>
      <c r="DZ52" s="179"/>
      <c r="EA52" s="180"/>
      <c r="EB52" s="180"/>
      <c r="EC52" s="180"/>
      <c r="ED52" s="187"/>
      <c r="EE52" s="188"/>
      <c r="EF52" s="184"/>
      <c r="EG52" s="184"/>
      <c r="EH52" s="184"/>
      <c r="EI52" s="184"/>
      <c r="EJ52" s="184"/>
      <c r="EK52" s="184"/>
      <c r="EL52" s="184"/>
      <c r="EM52" s="184"/>
      <c r="EN52" s="184"/>
      <c r="EO52" s="184"/>
      <c r="EP52" s="184"/>
      <c r="EQ52" s="184"/>
      <c r="ER52" s="176"/>
      <c r="ES52" s="177"/>
      <c r="ET52" s="177"/>
      <c r="EU52" s="177"/>
      <c r="EV52" s="177"/>
      <c r="EW52" s="177"/>
      <c r="EX52" s="177"/>
      <c r="EY52" s="177"/>
      <c r="EZ52" s="177"/>
      <c r="FA52" s="177"/>
      <c r="FB52" s="177"/>
      <c r="FC52" s="177"/>
      <c r="FD52" s="178"/>
    </row>
    <row r="53" spans="2:160" ht="15.75" thickBot="1" x14ac:dyDescent="0.3">
      <c r="B53" s="179"/>
      <c r="C53" s="379" t="str">
        <f>IF(AND($E$16="",$E$22=""),"Please provide AU1 area and duration.",IF($E$16="","Please provide AU1 area.",IF($E$22="","Please provide project duration.","")))</f>
        <v/>
      </c>
      <c r="D53" s="380"/>
      <c r="E53" s="381"/>
      <c r="F53" s="189"/>
      <c r="G53" s="190"/>
      <c r="H53" s="191" t="s">
        <v>32</v>
      </c>
      <c r="I53" s="192" t="s">
        <v>65</v>
      </c>
      <c r="J53" s="160">
        <f t="shared" ref="J53:J60" si="2">J41-J29</f>
        <v>-20</v>
      </c>
      <c r="K53" s="184"/>
      <c r="L53" s="184"/>
      <c r="M53" s="184"/>
      <c r="N53" s="184"/>
      <c r="O53" s="184"/>
      <c r="P53" s="184"/>
      <c r="Q53" s="184"/>
      <c r="R53" s="184"/>
      <c r="S53" s="184"/>
      <c r="T53" s="176"/>
      <c r="U53" s="193" t="s">
        <v>32</v>
      </c>
      <c r="V53" s="192" t="s">
        <v>65</v>
      </c>
      <c r="W53" s="160">
        <f>IF($E$16="","N/a",W41-W29)</f>
        <v>-20</v>
      </c>
      <c r="X53" s="177"/>
      <c r="Y53" s="177"/>
      <c r="Z53" s="177"/>
      <c r="AA53" s="177"/>
      <c r="AB53" s="177"/>
      <c r="AC53" s="177"/>
      <c r="AD53" s="177"/>
      <c r="AE53" s="177"/>
      <c r="AF53" s="178"/>
      <c r="AH53" s="179"/>
      <c r="AI53" s="379" t="str">
        <f>IF(AK21="","Please provide AU2 area.","")</f>
        <v/>
      </c>
      <c r="AJ53" s="380"/>
      <c r="AK53" s="381"/>
      <c r="AL53" s="189"/>
      <c r="AM53" s="190"/>
      <c r="AN53" s="191" t="s">
        <v>32</v>
      </c>
      <c r="AO53" s="192" t="s">
        <v>65</v>
      </c>
      <c r="AP53" s="160">
        <f t="shared" ref="AP53:AP60" si="3">AP41-AP29</f>
        <v>-20</v>
      </c>
      <c r="AQ53" s="184"/>
      <c r="AR53" s="184"/>
      <c r="AS53" s="184"/>
      <c r="AT53" s="184"/>
      <c r="AU53" s="184"/>
      <c r="AV53" s="184"/>
      <c r="AW53" s="184"/>
      <c r="AX53" s="184"/>
      <c r="AY53" s="184"/>
      <c r="AZ53" s="176"/>
      <c r="BA53" s="193" t="s">
        <v>32</v>
      </c>
      <c r="BB53" s="192" t="s">
        <v>65</v>
      </c>
      <c r="BC53" s="160">
        <f>IF(AK21="","N/a",BC41-BC29)</f>
        <v>-20</v>
      </c>
      <c r="BD53" s="177"/>
      <c r="BE53" s="177"/>
      <c r="BF53" s="177"/>
      <c r="BG53" s="177"/>
      <c r="BH53" s="177"/>
      <c r="BI53" s="177"/>
      <c r="BJ53" s="177"/>
      <c r="BK53" s="177"/>
      <c r="BL53" s="178"/>
      <c r="BN53" s="179"/>
      <c r="BO53" s="379" t="str">
        <f>IF(BQ21="","Please provide AU3 area.","")</f>
        <v>Please provide AU3 area.</v>
      </c>
      <c r="BP53" s="380"/>
      <c r="BQ53" s="381"/>
      <c r="BR53" s="189"/>
      <c r="BS53" s="190"/>
      <c r="BT53" s="191" t="s">
        <v>32</v>
      </c>
      <c r="BU53" s="192" t="s">
        <v>65</v>
      </c>
      <c r="BV53" s="160">
        <f t="shared" ref="BV53:BV60" si="4">BV41-BV29</f>
        <v>0</v>
      </c>
      <c r="BW53" s="184"/>
      <c r="BX53" s="184"/>
      <c r="BY53" s="184"/>
      <c r="BZ53" s="184"/>
      <c r="CA53" s="184"/>
      <c r="CB53" s="184"/>
      <c r="CC53" s="184"/>
      <c r="CD53" s="184"/>
      <c r="CE53" s="184"/>
      <c r="CF53" s="176"/>
      <c r="CG53" s="193" t="s">
        <v>32</v>
      </c>
      <c r="CH53" s="192" t="s">
        <v>65</v>
      </c>
      <c r="CI53" s="160" t="str">
        <f>IF(BQ21="","N/a",CI41-CI29)</f>
        <v>N/a</v>
      </c>
      <c r="CJ53" s="177"/>
      <c r="CK53" s="177"/>
      <c r="CL53" s="177"/>
      <c r="CM53" s="177"/>
      <c r="CN53" s="177"/>
      <c r="CO53" s="177"/>
      <c r="CP53" s="177"/>
      <c r="CQ53" s="177"/>
      <c r="CR53" s="178"/>
      <c r="CT53" s="179"/>
      <c r="CU53" s="379" t="str">
        <f>IF(CW21="","Please provide AU4 area.","")</f>
        <v>Please provide AU4 area.</v>
      </c>
      <c r="CV53" s="380"/>
      <c r="CW53" s="381"/>
      <c r="CX53" s="189"/>
      <c r="CY53" s="190"/>
      <c r="CZ53" s="191" t="s">
        <v>32</v>
      </c>
      <c r="DA53" s="192" t="s">
        <v>65</v>
      </c>
      <c r="DB53" s="160">
        <f t="shared" ref="DB53:DB60" si="5">DB41-DB29</f>
        <v>0</v>
      </c>
      <c r="DC53" s="184"/>
      <c r="DD53" s="184"/>
      <c r="DE53" s="184"/>
      <c r="DF53" s="184"/>
      <c r="DG53" s="184"/>
      <c r="DH53" s="184"/>
      <c r="DI53" s="184"/>
      <c r="DJ53" s="184"/>
      <c r="DK53" s="184"/>
      <c r="DL53" s="176"/>
      <c r="DM53" s="193" t="s">
        <v>32</v>
      </c>
      <c r="DN53" s="192" t="s">
        <v>65</v>
      </c>
      <c r="DO53" s="160" t="str">
        <f>IF(CW21="","N/a",DO41-DO29)</f>
        <v>N/a</v>
      </c>
      <c r="DP53" s="177"/>
      <c r="DQ53" s="177"/>
      <c r="DR53" s="177"/>
      <c r="DS53" s="177"/>
      <c r="DT53" s="177"/>
      <c r="DU53" s="177"/>
      <c r="DV53" s="177"/>
      <c r="DW53" s="177"/>
      <c r="DX53" s="178"/>
      <c r="DZ53" s="179"/>
      <c r="EA53" s="379" t="str">
        <f>IF(EC21="","Please provide AU5 area.","")</f>
        <v>Please provide AU5 area.</v>
      </c>
      <c r="EB53" s="380"/>
      <c r="EC53" s="381"/>
      <c r="ED53" s="189"/>
      <c r="EE53" s="190"/>
      <c r="EF53" s="191" t="s">
        <v>32</v>
      </c>
      <c r="EG53" s="192" t="s">
        <v>65</v>
      </c>
      <c r="EH53" s="160">
        <f t="shared" ref="EH53:EH60" si="6">EH41-EH29</f>
        <v>0</v>
      </c>
      <c r="EI53" s="184"/>
      <c r="EJ53" s="184"/>
      <c r="EK53" s="184"/>
      <c r="EL53" s="184"/>
      <c r="EM53" s="184"/>
      <c r="EN53" s="184"/>
      <c r="EO53" s="184"/>
      <c r="EP53" s="184"/>
      <c r="EQ53" s="184"/>
      <c r="ER53" s="176"/>
      <c r="ES53" s="193" t="s">
        <v>32</v>
      </c>
      <c r="ET53" s="192" t="s">
        <v>65</v>
      </c>
      <c r="EU53" s="160" t="str">
        <f>IF(EC21="","N/a",EU41-EU29)</f>
        <v>N/a</v>
      </c>
      <c r="EV53" s="177"/>
      <c r="EW53" s="177"/>
      <c r="EX53" s="177"/>
      <c r="EY53" s="177"/>
      <c r="EZ53" s="177"/>
      <c r="FA53" s="177"/>
      <c r="FB53" s="177"/>
      <c r="FC53" s="177"/>
      <c r="FD53" s="178"/>
    </row>
    <row r="54" spans="2:160" x14ac:dyDescent="0.25">
      <c r="B54" s="179"/>
      <c r="C54" s="382" t="str">
        <f>IF(AND($E$29="",$E$41=""),"Please select both original and final land uses.",IF($E$29="","Please select the original land use.",IF($E$41="","Please select the final land use.","")))</f>
        <v/>
      </c>
      <c r="D54" s="383"/>
      <c r="E54" s="384"/>
      <c r="F54" s="187"/>
      <c r="G54" s="194"/>
      <c r="H54" s="184"/>
      <c r="I54" s="195" t="s">
        <v>35</v>
      </c>
      <c r="J54" s="155" t="e">
        <f t="shared" si="2"/>
        <v>#N/A</v>
      </c>
      <c r="K54" s="184"/>
      <c r="L54" s="184"/>
      <c r="M54" s="184"/>
      <c r="N54" s="184" t="s">
        <v>36</v>
      </c>
      <c r="O54" s="184"/>
      <c r="P54" s="184"/>
      <c r="Q54" s="184"/>
      <c r="R54" s="184"/>
      <c r="S54" s="184"/>
      <c r="T54" s="176"/>
      <c r="U54" s="177"/>
      <c r="V54" s="195" t="s">
        <v>35</v>
      </c>
      <c r="W54" s="155" t="e">
        <f t="shared" ref="W54:W60" si="7">IF(AND(W30="N/a",W42="N/a"),"N/a",W42-W30)</f>
        <v>#N/A</v>
      </c>
      <c r="X54" s="177"/>
      <c r="Y54" s="177"/>
      <c r="Z54" s="177"/>
      <c r="AA54" s="177"/>
      <c r="AB54" s="177"/>
      <c r="AC54" s="177"/>
      <c r="AD54" s="177"/>
      <c r="AE54" s="177"/>
      <c r="AF54" s="178"/>
      <c r="AH54" s="179"/>
      <c r="AI54" s="382" t="str">
        <f>IF(AND(AK29="",AK41=""),"Please select both original and final land uses.",IF(AK29="","Please select the original land use.",IF(AK41="","Please select the final land use.","")))</f>
        <v/>
      </c>
      <c r="AJ54" s="383"/>
      <c r="AK54" s="384"/>
      <c r="AL54" s="187"/>
      <c r="AM54" s="194"/>
      <c r="AN54" s="184"/>
      <c r="AO54" s="195" t="s">
        <v>35</v>
      </c>
      <c r="AP54" s="155">
        <f t="shared" si="3"/>
        <v>-9.8340000000000014</v>
      </c>
      <c r="AQ54" s="184"/>
      <c r="AR54" s="184"/>
      <c r="AS54" s="184"/>
      <c r="AT54" s="184" t="s">
        <v>36</v>
      </c>
      <c r="AU54" s="184"/>
      <c r="AV54" s="184"/>
      <c r="AW54" s="184"/>
      <c r="AX54" s="184"/>
      <c r="AY54" s="184"/>
      <c r="AZ54" s="176"/>
      <c r="BA54" s="177"/>
      <c r="BB54" s="195" t="s">
        <v>35</v>
      </c>
      <c r="BC54" s="155">
        <f t="shared" ref="BC54:BC60" si="8">IF(AND(BC30="N/a",BC42="N/a"),"N/a",BC42-BC30)</f>
        <v>-98.34</v>
      </c>
      <c r="BD54" s="177"/>
      <c r="BE54" s="177"/>
      <c r="BF54" s="177"/>
      <c r="BG54" s="177"/>
      <c r="BH54" s="177"/>
      <c r="BI54" s="177"/>
      <c r="BJ54" s="177"/>
      <c r="BK54" s="177"/>
      <c r="BL54" s="178"/>
      <c r="BN54" s="179"/>
      <c r="BO54" s="382" t="str">
        <f>IF(AND(BQ29="",BQ41=""),"Please select both original and final land uses.",IF(BQ29="","Please select the original land use.",IF(BQ41="","Please select the final land use.","")))</f>
        <v>Please select both original and final land uses.</v>
      </c>
      <c r="BP54" s="383"/>
      <c r="BQ54" s="384"/>
      <c r="BR54" s="187"/>
      <c r="BS54" s="194"/>
      <c r="BT54" s="184"/>
      <c r="BU54" s="195" t="s">
        <v>35</v>
      </c>
      <c r="BV54" s="155" t="e">
        <f t="shared" si="4"/>
        <v>#VALUE!</v>
      </c>
      <c r="BW54" s="184"/>
      <c r="BX54" s="184"/>
      <c r="BY54" s="184"/>
      <c r="BZ54" s="184" t="s">
        <v>36</v>
      </c>
      <c r="CA54" s="184"/>
      <c r="CB54" s="184"/>
      <c r="CC54" s="184"/>
      <c r="CD54" s="184"/>
      <c r="CE54" s="184"/>
      <c r="CF54" s="176"/>
      <c r="CG54" s="177"/>
      <c r="CH54" s="195" t="s">
        <v>35</v>
      </c>
      <c r="CI54" s="155" t="str">
        <f t="shared" ref="CI54:CI60" si="9">IF(AND(CI30="N/a",CI42="N/a"),"N/a",CI42-CI30)</f>
        <v>N/a</v>
      </c>
      <c r="CJ54" s="177"/>
      <c r="CK54" s="177"/>
      <c r="CL54" s="177"/>
      <c r="CM54" s="177"/>
      <c r="CN54" s="177"/>
      <c r="CO54" s="177"/>
      <c r="CP54" s="177"/>
      <c r="CQ54" s="177"/>
      <c r="CR54" s="178"/>
      <c r="CT54" s="179"/>
      <c r="CU54" s="382" t="str">
        <f>IF(AND(CW29="",CW41=""),"Please select both original and final land uses.",IF(CW29="","Please select the original land use.",IF(CW41="","Please select the final land use.","")))</f>
        <v>Please select both original and final land uses.</v>
      </c>
      <c r="CV54" s="383"/>
      <c r="CW54" s="384"/>
      <c r="CX54" s="187"/>
      <c r="CY54" s="194"/>
      <c r="CZ54" s="184"/>
      <c r="DA54" s="195" t="s">
        <v>35</v>
      </c>
      <c r="DB54" s="155" t="e">
        <f t="shared" si="5"/>
        <v>#VALUE!</v>
      </c>
      <c r="DC54" s="184"/>
      <c r="DD54" s="184"/>
      <c r="DE54" s="184"/>
      <c r="DF54" s="184" t="s">
        <v>36</v>
      </c>
      <c r="DG54" s="184"/>
      <c r="DH54" s="184"/>
      <c r="DI54" s="184"/>
      <c r="DJ54" s="184"/>
      <c r="DK54" s="184"/>
      <c r="DL54" s="176"/>
      <c r="DM54" s="177"/>
      <c r="DN54" s="195" t="s">
        <v>35</v>
      </c>
      <c r="DO54" s="155" t="str">
        <f t="shared" ref="DO54:DO60" si="10">IF(AND(DO30="N/a",DO42="N/a"),"N/a",DO42-DO30)</f>
        <v>N/a</v>
      </c>
      <c r="DP54" s="177"/>
      <c r="DQ54" s="177"/>
      <c r="DR54" s="177"/>
      <c r="DS54" s="177"/>
      <c r="DT54" s="177"/>
      <c r="DU54" s="177"/>
      <c r="DV54" s="177"/>
      <c r="DW54" s="177"/>
      <c r="DX54" s="178"/>
      <c r="DZ54" s="179"/>
      <c r="EA54" s="382" t="str">
        <f>IF(AND(EC29="",EC41=""),"Please select both original and final land uses.",IF(EC29="","Please select the original land use.",IF(EC41="","Please select the final land use.","")))</f>
        <v>Please select both original and final land uses.</v>
      </c>
      <c r="EB54" s="383"/>
      <c r="EC54" s="384"/>
      <c r="ED54" s="187"/>
      <c r="EE54" s="194"/>
      <c r="EF54" s="184"/>
      <c r="EG54" s="195" t="s">
        <v>35</v>
      </c>
      <c r="EH54" s="155" t="e">
        <f t="shared" si="6"/>
        <v>#VALUE!</v>
      </c>
      <c r="EI54" s="184"/>
      <c r="EJ54" s="184"/>
      <c r="EK54" s="184"/>
      <c r="EL54" s="184" t="s">
        <v>36</v>
      </c>
      <c r="EM54" s="184"/>
      <c r="EN54" s="184"/>
      <c r="EO54" s="184"/>
      <c r="EP54" s="184"/>
      <c r="EQ54" s="184"/>
      <c r="ER54" s="176"/>
      <c r="ES54" s="177"/>
      <c r="ET54" s="195" t="s">
        <v>35</v>
      </c>
      <c r="EU54" s="155" t="str">
        <f t="shared" ref="EU54:EU60" si="11">IF(AND(EU30="N/a",EU42="N/a"),"N/a",EU42-EU30)</f>
        <v>N/a</v>
      </c>
      <c r="EV54" s="177"/>
      <c r="EW54" s="177"/>
      <c r="EX54" s="177"/>
      <c r="EY54" s="177"/>
      <c r="EZ54" s="177"/>
      <c r="FA54" s="177"/>
      <c r="FB54" s="177"/>
      <c r="FC54" s="177"/>
      <c r="FD54" s="178"/>
    </row>
    <row r="55" spans="2:160" x14ac:dyDescent="0.25">
      <c r="B55" s="179"/>
      <c r="C55" s="382" t="str">
        <f>IF(AND($E$32&lt;=$E$31,$E$32&gt;=$E$30),"",CONCATENATE("Original land use WTD must be between ",$E$30," cm and ",$E$31," cm."))</f>
        <v/>
      </c>
      <c r="D55" s="383"/>
      <c r="E55" s="384"/>
      <c r="F55" s="187"/>
      <c r="G55" s="194"/>
      <c r="H55" s="184"/>
      <c r="I55" s="195" t="s">
        <v>39</v>
      </c>
      <c r="J55" s="155" t="e">
        <f t="shared" si="2"/>
        <v>#N/A</v>
      </c>
      <c r="K55" s="184"/>
      <c r="L55" s="184"/>
      <c r="M55" s="184"/>
      <c r="N55" s="184"/>
      <c r="O55" s="184"/>
      <c r="P55" s="184"/>
      <c r="Q55" s="184"/>
      <c r="R55" s="184"/>
      <c r="S55" s="184"/>
      <c r="T55" s="176"/>
      <c r="U55" s="177"/>
      <c r="V55" s="195" t="s">
        <v>39</v>
      </c>
      <c r="W55" s="155" t="e">
        <f t="shared" si="7"/>
        <v>#N/A</v>
      </c>
      <c r="X55" s="177"/>
      <c r="Y55" s="177"/>
      <c r="Z55" s="177"/>
      <c r="AA55" s="177"/>
      <c r="AB55" s="177"/>
      <c r="AC55" s="177"/>
      <c r="AD55" s="177"/>
      <c r="AE55" s="177"/>
      <c r="AF55" s="178"/>
      <c r="AH55" s="179"/>
      <c r="AI55" s="382" t="str">
        <f>IF(AND(AK32&lt;=AK31,AK32&gt;=AK30),"",CONCATENATE("Original land use WTD must be between ",AK30," cm and ",AK31," cm."))</f>
        <v/>
      </c>
      <c r="AJ55" s="383"/>
      <c r="AK55" s="384"/>
      <c r="AL55" s="187"/>
      <c r="AM55" s="194"/>
      <c r="AN55" s="184"/>
      <c r="AO55" s="195" t="s">
        <v>39</v>
      </c>
      <c r="AP55" s="155">
        <f t="shared" si="3"/>
        <v>42.171455754755684</v>
      </c>
      <c r="AQ55" s="184"/>
      <c r="AR55" s="184"/>
      <c r="AS55" s="184"/>
      <c r="AT55" s="184"/>
      <c r="AU55" s="184"/>
      <c r="AV55" s="184"/>
      <c r="AW55" s="184"/>
      <c r="AX55" s="184"/>
      <c r="AY55" s="184"/>
      <c r="AZ55" s="176"/>
      <c r="BA55" s="177"/>
      <c r="BB55" s="195" t="s">
        <v>39</v>
      </c>
      <c r="BC55" s="155">
        <f t="shared" si="8"/>
        <v>421.71455754755686</v>
      </c>
      <c r="BD55" s="177"/>
      <c r="BE55" s="177"/>
      <c r="BF55" s="177"/>
      <c r="BG55" s="177"/>
      <c r="BH55" s="177"/>
      <c r="BI55" s="177"/>
      <c r="BJ55" s="177"/>
      <c r="BK55" s="177"/>
      <c r="BL55" s="178"/>
      <c r="BN55" s="179"/>
      <c r="BO55" s="382" t="str">
        <f>IF(AND(BQ32&lt;=BQ31,BQ32&gt;=BQ30),"",CONCATENATE("Original land use WTD must be between ",BQ30," cm and ",BQ31," cm."))</f>
        <v>Original land use WTD must be between Error cm and Error cm.</v>
      </c>
      <c r="BP55" s="383"/>
      <c r="BQ55" s="384"/>
      <c r="BR55" s="187"/>
      <c r="BS55" s="194"/>
      <c r="BT55" s="184"/>
      <c r="BU55" s="195" t="s">
        <v>39</v>
      </c>
      <c r="BV55" s="155" t="e">
        <f t="shared" si="4"/>
        <v>#VALUE!</v>
      </c>
      <c r="BW55" s="184"/>
      <c r="BX55" s="184"/>
      <c r="BY55" s="184"/>
      <c r="BZ55" s="184"/>
      <c r="CA55" s="184"/>
      <c r="CB55" s="184"/>
      <c r="CC55" s="184"/>
      <c r="CD55" s="184"/>
      <c r="CE55" s="184"/>
      <c r="CF55" s="176"/>
      <c r="CG55" s="177"/>
      <c r="CH55" s="195" t="s">
        <v>39</v>
      </c>
      <c r="CI55" s="155" t="str">
        <f t="shared" si="9"/>
        <v>N/a</v>
      </c>
      <c r="CJ55" s="177"/>
      <c r="CK55" s="177"/>
      <c r="CL55" s="177"/>
      <c r="CM55" s="177"/>
      <c r="CN55" s="177"/>
      <c r="CO55" s="177"/>
      <c r="CP55" s="177"/>
      <c r="CQ55" s="177"/>
      <c r="CR55" s="178"/>
      <c r="CT55" s="179"/>
      <c r="CU55" s="382" t="str">
        <f>IF(AND(CW32&lt;=CW31,CW32&gt;=CW30),"",CONCATENATE("Original land use WTD must be between ",CW30," cm and ",CW31," cm."))</f>
        <v>Original land use WTD must be between Error cm and Error cm.</v>
      </c>
      <c r="CV55" s="383"/>
      <c r="CW55" s="384"/>
      <c r="CX55" s="187"/>
      <c r="CY55" s="194"/>
      <c r="CZ55" s="184"/>
      <c r="DA55" s="195" t="s">
        <v>39</v>
      </c>
      <c r="DB55" s="155" t="e">
        <f t="shared" si="5"/>
        <v>#VALUE!</v>
      </c>
      <c r="DC55" s="184"/>
      <c r="DD55" s="184"/>
      <c r="DE55" s="184"/>
      <c r="DF55" s="184"/>
      <c r="DG55" s="184"/>
      <c r="DH55" s="184"/>
      <c r="DI55" s="184"/>
      <c r="DJ55" s="184"/>
      <c r="DK55" s="184"/>
      <c r="DL55" s="176"/>
      <c r="DM55" s="177"/>
      <c r="DN55" s="195" t="s">
        <v>39</v>
      </c>
      <c r="DO55" s="155" t="str">
        <f t="shared" si="10"/>
        <v>N/a</v>
      </c>
      <c r="DP55" s="177"/>
      <c r="DQ55" s="177"/>
      <c r="DR55" s="177"/>
      <c r="DS55" s="177"/>
      <c r="DT55" s="177"/>
      <c r="DU55" s="177"/>
      <c r="DV55" s="177"/>
      <c r="DW55" s="177"/>
      <c r="DX55" s="178"/>
      <c r="DZ55" s="179"/>
      <c r="EA55" s="382" t="str">
        <f>IF(AND(EC32&lt;=EC31,EC32&gt;=EC30),"",CONCATENATE("Original land use WTD must be between ",EC30," cm and ",EC31," cm."))</f>
        <v>Original land use WTD must be between Error cm and Error cm.</v>
      </c>
      <c r="EB55" s="383"/>
      <c r="EC55" s="384"/>
      <c r="ED55" s="187"/>
      <c r="EE55" s="194"/>
      <c r="EF55" s="184"/>
      <c r="EG55" s="195" t="s">
        <v>39</v>
      </c>
      <c r="EH55" s="155" t="e">
        <f t="shared" si="6"/>
        <v>#VALUE!</v>
      </c>
      <c r="EI55" s="184"/>
      <c r="EJ55" s="184"/>
      <c r="EK55" s="184"/>
      <c r="EL55" s="184"/>
      <c r="EM55" s="184"/>
      <c r="EN55" s="184"/>
      <c r="EO55" s="184"/>
      <c r="EP55" s="184"/>
      <c r="EQ55" s="184"/>
      <c r="ER55" s="176"/>
      <c r="ES55" s="177"/>
      <c r="ET55" s="195" t="s">
        <v>39</v>
      </c>
      <c r="EU55" s="155" t="str">
        <f t="shared" si="11"/>
        <v>N/a</v>
      </c>
      <c r="EV55" s="177"/>
      <c r="EW55" s="177"/>
      <c r="EX55" s="177"/>
      <c r="EY55" s="177"/>
      <c r="EZ55" s="177"/>
      <c r="FA55" s="177"/>
      <c r="FB55" s="177"/>
      <c r="FC55" s="177"/>
      <c r="FD55" s="178"/>
    </row>
    <row r="56" spans="2:160" x14ac:dyDescent="0.25">
      <c r="B56" s="179"/>
      <c r="C56" s="382" t="str">
        <f>IF(AND($E$44&lt;=$E$43,$E$44&gt;=$E$42),"",CONCATENATE("Final land use WTD must be between ",$E$42," cm and ",$E$43," cm."))</f>
        <v>Final land use WTD must be between -5 cm and 13 cm.</v>
      </c>
      <c r="D56" s="383"/>
      <c r="E56" s="384"/>
      <c r="F56" s="187"/>
      <c r="G56" s="194"/>
      <c r="H56" s="184"/>
      <c r="I56" s="195" t="s">
        <v>42</v>
      </c>
      <c r="J56" s="155" t="e">
        <f t="shared" si="2"/>
        <v>#N/A</v>
      </c>
      <c r="K56" s="184"/>
      <c r="L56" s="184"/>
      <c r="M56" s="184"/>
      <c r="N56" s="184" t="s">
        <v>43</v>
      </c>
      <c r="O56" s="184"/>
      <c r="P56" s="184"/>
      <c r="Q56" s="184"/>
      <c r="R56" s="184"/>
      <c r="S56" s="184"/>
      <c r="T56" s="176"/>
      <c r="U56" s="177"/>
      <c r="V56" s="195" t="s">
        <v>42</v>
      </c>
      <c r="W56" s="155" t="e">
        <f t="shared" si="7"/>
        <v>#N/A</v>
      </c>
      <c r="X56" s="177"/>
      <c r="Y56" s="177"/>
      <c r="Z56" s="177"/>
      <c r="AA56" s="177"/>
      <c r="AB56" s="177"/>
      <c r="AC56" s="177"/>
      <c r="AD56" s="177"/>
      <c r="AE56" s="177"/>
      <c r="AF56" s="178"/>
      <c r="AH56" s="179"/>
      <c r="AI56" s="382" t="str">
        <f>IF(AND(AK44&lt;=AK43,AK44&gt;=AK42),"",CONCATENATE("Final land use WTD must be between ",AK42," cm and ",AK43," cm."))</f>
        <v/>
      </c>
      <c r="AJ56" s="383"/>
      <c r="AK56" s="384"/>
      <c r="AL56" s="187"/>
      <c r="AM56" s="194"/>
      <c r="AN56" s="184"/>
      <c r="AO56" s="195" t="s">
        <v>42</v>
      </c>
      <c r="AP56" s="155">
        <f t="shared" si="3"/>
        <v>1.1808007611331592</v>
      </c>
      <c r="AQ56" s="184"/>
      <c r="AR56" s="184"/>
      <c r="AS56" s="184"/>
      <c r="AT56" s="184" t="s">
        <v>43</v>
      </c>
      <c r="AU56" s="184"/>
      <c r="AV56" s="184"/>
      <c r="AW56" s="184"/>
      <c r="AX56" s="184"/>
      <c r="AY56" s="184"/>
      <c r="AZ56" s="176"/>
      <c r="BA56" s="177"/>
      <c r="BB56" s="195" t="s">
        <v>42</v>
      </c>
      <c r="BC56" s="155">
        <f t="shared" si="8"/>
        <v>11.808007611331593</v>
      </c>
      <c r="BD56" s="177"/>
      <c r="BE56" s="177"/>
      <c r="BF56" s="177"/>
      <c r="BG56" s="177"/>
      <c r="BH56" s="177"/>
      <c r="BI56" s="177"/>
      <c r="BJ56" s="177"/>
      <c r="BK56" s="177"/>
      <c r="BL56" s="178"/>
      <c r="BN56" s="179"/>
      <c r="BO56" s="382" t="str">
        <f>IF(AND(BQ44&lt;=BQ43,BQ44&gt;=BQ42),"",CONCATENATE("Final land use WTD must be between ",BQ42," cm and ",BQ43," cm."))</f>
        <v>Final land use WTD must be between Error cm and Error cm.</v>
      </c>
      <c r="BP56" s="383"/>
      <c r="BQ56" s="384"/>
      <c r="BR56" s="187"/>
      <c r="BS56" s="194"/>
      <c r="BT56" s="184"/>
      <c r="BU56" s="195" t="s">
        <v>42</v>
      </c>
      <c r="BV56" s="155" t="e">
        <f t="shared" si="4"/>
        <v>#VALUE!</v>
      </c>
      <c r="BW56" s="184"/>
      <c r="BX56" s="184"/>
      <c r="BY56" s="184"/>
      <c r="BZ56" s="184" t="s">
        <v>43</v>
      </c>
      <c r="CA56" s="184"/>
      <c r="CB56" s="184"/>
      <c r="CC56" s="184"/>
      <c r="CD56" s="184"/>
      <c r="CE56" s="184"/>
      <c r="CF56" s="176"/>
      <c r="CG56" s="177"/>
      <c r="CH56" s="195" t="s">
        <v>42</v>
      </c>
      <c r="CI56" s="155" t="str">
        <f t="shared" si="9"/>
        <v>N/a</v>
      </c>
      <c r="CJ56" s="177"/>
      <c r="CK56" s="177"/>
      <c r="CL56" s="177"/>
      <c r="CM56" s="177"/>
      <c r="CN56" s="177"/>
      <c r="CO56" s="177"/>
      <c r="CP56" s="177"/>
      <c r="CQ56" s="177"/>
      <c r="CR56" s="178"/>
      <c r="CT56" s="179"/>
      <c r="CU56" s="382" t="str">
        <f>IF(AND(CW44&lt;=CW43,CW44&gt;=CW42),"",CONCATENATE("Final land use WTD must be between ",CW42," cm and ",CW43," cm."))</f>
        <v>Final land use WTD must be between Error cm and Error cm.</v>
      </c>
      <c r="CV56" s="383"/>
      <c r="CW56" s="384"/>
      <c r="CX56" s="187"/>
      <c r="CY56" s="194"/>
      <c r="CZ56" s="184"/>
      <c r="DA56" s="195" t="s">
        <v>42</v>
      </c>
      <c r="DB56" s="155" t="e">
        <f t="shared" si="5"/>
        <v>#VALUE!</v>
      </c>
      <c r="DC56" s="184"/>
      <c r="DD56" s="184"/>
      <c r="DE56" s="184"/>
      <c r="DF56" s="184" t="s">
        <v>43</v>
      </c>
      <c r="DG56" s="184"/>
      <c r="DH56" s="184"/>
      <c r="DI56" s="184"/>
      <c r="DJ56" s="184"/>
      <c r="DK56" s="184"/>
      <c r="DL56" s="176"/>
      <c r="DM56" s="177"/>
      <c r="DN56" s="195" t="s">
        <v>42</v>
      </c>
      <c r="DO56" s="155" t="str">
        <f t="shared" si="10"/>
        <v>N/a</v>
      </c>
      <c r="DP56" s="177"/>
      <c r="DQ56" s="177"/>
      <c r="DR56" s="177"/>
      <c r="DS56" s="177"/>
      <c r="DT56" s="177"/>
      <c r="DU56" s="177"/>
      <c r="DV56" s="177"/>
      <c r="DW56" s="177"/>
      <c r="DX56" s="178"/>
      <c r="DZ56" s="179"/>
      <c r="EA56" s="382" t="str">
        <f>IF(AND(EC44&lt;=EC43,EC44&gt;=EC42),"",CONCATENATE("Final land use WTD must be between ",EC42," cm and ",EC43," cm."))</f>
        <v>Final land use WTD must be between Error cm and Error cm.</v>
      </c>
      <c r="EB56" s="383"/>
      <c r="EC56" s="384"/>
      <c r="ED56" s="187"/>
      <c r="EE56" s="194"/>
      <c r="EF56" s="184"/>
      <c r="EG56" s="195" t="s">
        <v>42</v>
      </c>
      <c r="EH56" s="155" t="e">
        <f t="shared" si="6"/>
        <v>#VALUE!</v>
      </c>
      <c r="EI56" s="184"/>
      <c r="EJ56" s="184"/>
      <c r="EK56" s="184"/>
      <c r="EL56" s="184" t="s">
        <v>43</v>
      </c>
      <c r="EM56" s="184"/>
      <c r="EN56" s="184"/>
      <c r="EO56" s="184"/>
      <c r="EP56" s="184"/>
      <c r="EQ56" s="184"/>
      <c r="ER56" s="176"/>
      <c r="ES56" s="177"/>
      <c r="ET56" s="195" t="s">
        <v>42</v>
      </c>
      <c r="EU56" s="155" t="str">
        <f t="shared" si="11"/>
        <v>N/a</v>
      </c>
      <c r="EV56" s="177"/>
      <c r="EW56" s="177"/>
      <c r="EX56" s="177"/>
      <c r="EY56" s="177"/>
      <c r="EZ56" s="177"/>
      <c r="FA56" s="177"/>
      <c r="FB56" s="177"/>
      <c r="FC56" s="177"/>
      <c r="FD56" s="178"/>
    </row>
    <row r="57" spans="2:160" x14ac:dyDescent="0.25">
      <c r="B57" s="179"/>
      <c r="C57" s="382" t="str">
        <f>IF(AND($E$33="",$E$45=""),"Please provide peat depths for both original and final land uses.",IF($E$33="","Please provide peat depth for original land use",IF($E$45="","Please provide peat depth for final land use","")))</f>
        <v/>
      </c>
      <c r="D57" s="383"/>
      <c r="E57" s="384"/>
      <c r="F57" s="187"/>
      <c r="G57" s="194"/>
      <c r="H57" s="184"/>
      <c r="I57" s="195" t="s">
        <v>46</v>
      </c>
      <c r="J57" s="155">
        <f t="shared" si="2"/>
        <v>0</v>
      </c>
      <c r="K57" s="184"/>
      <c r="L57" s="184"/>
      <c r="M57" s="184"/>
      <c r="N57" s="184"/>
      <c r="O57" s="184"/>
      <c r="P57" s="184"/>
      <c r="Q57" s="184"/>
      <c r="R57" s="184"/>
      <c r="S57" s="184"/>
      <c r="T57" s="176"/>
      <c r="U57" s="177"/>
      <c r="V57" s="195" t="s">
        <v>46</v>
      </c>
      <c r="W57" s="155">
        <f t="shared" si="7"/>
        <v>0</v>
      </c>
      <c r="X57" s="177"/>
      <c r="Y57" s="177"/>
      <c r="Z57" s="177"/>
      <c r="AA57" s="177"/>
      <c r="AB57" s="177"/>
      <c r="AC57" s="177"/>
      <c r="AD57" s="177"/>
      <c r="AE57" s="177"/>
      <c r="AF57" s="178"/>
      <c r="AH57" s="179"/>
      <c r="AI57" s="382" t="str">
        <f>IF(AND(AK33="",AK45=""),"Please provide peat depths for both original and final land uses.",IF(AK33="","Please provide peat depth for original land use",IF(AK45="","Please provide peat depth for final land use","")))</f>
        <v/>
      </c>
      <c r="AJ57" s="383"/>
      <c r="AK57" s="384"/>
      <c r="AL57" s="187"/>
      <c r="AM57" s="194"/>
      <c r="AN57" s="184"/>
      <c r="AO57" s="195" t="s">
        <v>46</v>
      </c>
      <c r="AP57" s="155">
        <f t="shared" si="3"/>
        <v>-16.28</v>
      </c>
      <c r="AQ57" s="184"/>
      <c r="AR57" s="184"/>
      <c r="AS57" s="184"/>
      <c r="AT57" s="184"/>
      <c r="AU57" s="184"/>
      <c r="AV57" s="184"/>
      <c r="AW57" s="184"/>
      <c r="AX57" s="184"/>
      <c r="AY57" s="184"/>
      <c r="AZ57" s="176"/>
      <c r="BA57" s="177"/>
      <c r="BB57" s="195" t="s">
        <v>46</v>
      </c>
      <c r="BC57" s="155">
        <f t="shared" si="8"/>
        <v>-162.80000000000001</v>
      </c>
      <c r="BD57" s="177"/>
      <c r="BE57" s="177"/>
      <c r="BF57" s="177"/>
      <c r="BG57" s="177"/>
      <c r="BH57" s="177"/>
      <c r="BI57" s="177"/>
      <c r="BJ57" s="177"/>
      <c r="BK57" s="177"/>
      <c r="BL57" s="178"/>
      <c r="BN57" s="179"/>
      <c r="BO57" s="382" t="str">
        <f>IF(AND(BQ33="",BQ45=""),"Please provide peat depths for both original and final land uses.",IF(BQ33="","Please provide peat depth for original land use",IF(BQ45="","Please provide peat depth for final land use","")))</f>
        <v>Please provide peat depths for both original and final land uses.</v>
      </c>
      <c r="BP57" s="383"/>
      <c r="BQ57" s="384"/>
      <c r="BR57" s="187"/>
      <c r="BS57" s="194"/>
      <c r="BT57" s="184"/>
      <c r="BU57" s="195" t="s">
        <v>46</v>
      </c>
      <c r="BV57" s="155" t="e">
        <f t="shared" si="4"/>
        <v>#VALUE!</v>
      </c>
      <c r="BW57" s="184"/>
      <c r="BX57" s="184"/>
      <c r="BY57" s="184"/>
      <c r="BZ57" s="184"/>
      <c r="CA57" s="184"/>
      <c r="CB57" s="184"/>
      <c r="CC57" s="184"/>
      <c r="CD57" s="184"/>
      <c r="CE57" s="184"/>
      <c r="CF57" s="176"/>
      <c r="CG57" s="177"/>
      <c r="CH57" s="195" t="s">
        <v>46</v>
      </c>
      <c r="CI57" s="155" t="str">
        <f t="shared" si="9"/>
        <v>N/a</v>
      </c>
      <c r="CJ57" s="177"/>
      <c r="CK57" s="177"/>
      <c r="CL57" s="177"/>
      <c r="CM57" s="177"/>
      <c r="CN57" s="177"/>
      <c r="CO57" s="177"/>
      <c r="CP57" s="177"/>
      <c r="CQ57" s="177"/>
      <c r="CR57" s="178"/>
      <c r="CT57" s="179"/>
      <c r="CU57" s="382" t="str">
        <f>IF(AND(CW33="",CW45=""),"Please provide peat depths for both original and final land uses.",IF(CW33="","Please provide peat depth for original land use",IF(CW45="","Please provide peat depth for final land use","")))</f>
        <v>Please provide peat depths for both original and final land uses.</v>
      </c>
      <c r="CV57" s="383"/>
      <c r="CW57" s="384"/>
      <c r="CX57" s="187"/>
      <c r="CY57" s="194"/>
      <c r="CZ57" s="184"/>
      <c r="DA57" s="195" t="s">
        <v>46</v>
      </c>
      <c r="DB57" s="155" t="e">
        <f t="shared" si="5"/>
        <v>#VALUE!</v>
      </c>
      <c r="DC57" s="184"/>
      <c r="DD57" s="184"/>
      <c r="DE57" s="184"/>
      <c r="DF57" s="184"/>
      <c r="DG57" s="184"/>
      <c r="DH57" s="184"/>
      <c r="DI57" s="184"/>
      <c r="DJ57" s="184"/>
      <c r="DK57" s="184"/>
      <c r="DL57" s="176"/>
      <c r="DM57" s="177"/>
      <c r="DN57" s="195" t="s">
        <v>46</v>
      </c>
      <c r="DO57" s="155" t="str">
        <f t="shared" si="10"/>
        <v>N/a</v>
      </c>
      <c r="DP57" s="177"/>
      <c r="DQ57" s="177"/>
      <c r="DR57" s="177"/>
      <c r="DS57" s="177"/>
      <c r="DT57" s="177"/>
      <c r="DU57" s="177"/>
      <c r="DV57" s="177"/>
      <c r="DW57" s="177"/>
      <c r="DX57" s="178"/>
      <c r="DZ57" s="179"/>
      <c r="EA57" s="382" t="str">
        <f>IF(AND(EC33="",EC45=""),"Please provide peat depths for both original and final land uses.",IF(EC33="","Please provide peat depth for original land use",IF(EC45="","Please provide peat depth for final land use","")))</f>
        <v>Please provide peat depths for both original and final land uses.</v>
      </c>
      <c r="EB57" s="383"/>
      <c r="EC57" s="384"/>
      <c r="ED57" s="187"/>
      <c r="EE57" s="194"/>
      <c r="EF57" s="184"/>
      <c r="EG57" s="195" t="s">
        <v>46</v>
      </c>
      <c r="EH57" s="155" t="e">
        <f t="shared" si="6"/>
        <v>#VALUE!</v>
      </c>
      <c r="EI57" s="184"/>
      <c r="EJ57" s="184"/>
      <c r="EK57" s="184"/>
      <c r="EL57" s="184"/>
      <c r="EM57" s="184"/>
      <c r="EN57" s="184"/>
      <c r="EO57" s="184"/>
      <c r="EP57" s="184"/>
      <c r="EQ57" s="184"/>
      <c r="ER57" s="176"/>
      <c r="ES57" s="177"/>
      <c r="ET57" s="195" t="s">
        <v>46</v>
      </c>
      <c r="EU57" s="155" t="str">
        <f t="shared" si="11"/>
        <v>N/a</v>
      </c>
      <c r="EV57" s="177"/>
      <c r="EW57" s="177"/>
      <c r="EX57" s="177"/>
      <c r="EY57" s="177"/>
      <c r="EZ57" s="177"/>
      <c r="FA57" s="177"/>
      <c r="FB57" s="177"/>
      <c r="FC57" s="177"/>
      <c r="FD57" s="178"/>
    </row>
    <row r="58" spans="2:160" ht="14.25" customHeight="1" x14ac:dyDescent="0.25">
      <c r="B58" s="179"/>
      <c r="C58" s="385" t="str">
        <f>IF(AND($E$29='Category Reference Values'!$C$11,Calculator!$E$41='Category Reference Values'!$C$6),"Agricultural/Woodland sites cannot be directly converted to Near-natural sites.",IF(AND($E$29='Category Reference Values'!$C$10,Calculator!$E$41='Category Reference Values'!$C$6),"Agricultural/Woodland sites cannot be directly converted to Near-natural sites.",IF(AND($E$29='Category Reference Values'!$C$9,Calculator!$E$41='Category Reference Values'!$C$6),"Agricultural/Woodland sites cannot be directly converted to Near-natural sites.","")))</f>
        <v/>
      </c>
      <c r="D58" s="386"/>
      <c r="E58" s="387"/>
      <c r="F58" s="187"/>
      <c r="G58" s="194"/>
      <c r="H58" s="184"/>
      <c r="I58" s="195" t="s">
        <v>48</v>
      </c>
      <c r="J58" s="155">
        <f t="shared" si="2"/>
        <v>0</v>
      </c>
      <c r="K58" s="184"/>
      <c r="L58" s="184"/>
      <c r="M58" s="184"/>
      <c r="N58" s="184" t="s">
        <v>49</v>
      </c>
      <c r="O58" s="184"/>
      <c r="P58" s="184"/>
      <c r="Q58" s="184"/>
      <c r="R58" s="184"/>
      <c r="S58" s="184"/>
      <c r="T58" s="176"/>
      <c r="U58" s="177"/>
      <c r="V58" s="195" t="s">
        <v>48</v>
      </c>
      <c r="W58" s="155">
        <f t="shared" si="7"/>
        <v>0</v>
      </c>
      <c r="X58" s="177"/>
      <c r="Y58" s="177"/>
      <c r="Z58" s="177"/>
      <c r="AA58" s="177"/>
      <c r="AB58" s="177"/>
      <c r="AC58" s="177"/>
      <c r="AD58" s="177"/>
      <c r="AE58" s="177"/>
      <c r="AF58" s="178"/>
      <c r="AH58" s="179"/>
      <c r="AI58" s="385" t="str">
        <f>IF(AND(AK29='Category Reference Values'!$C$11,Calculator!AK41='Category Reference Values'!$C$6),"Agricultural sites cannot be directly converted to Near-natural sites.",IF(AND(AK29='Category Reference Values'!$C$10,Calculator!AK41='Category Reference Values'!$C$6),"Agricultural sites cannot be directly converted to Near-natural sites.",IF(AND(AK29='Category Reference Values'!$C$9,Calculator!AK41='Category Reference Values'!$C$6),"Agricultural sites cannot be directly converted to Near-natural sites.","")))</f>
        <v/>
      </c>
      <c r="AJ58" s="386"/>
      <c r="AK58" s="387"/>
      <c r="AL58" s="187"/>
      <c r="AM58" s="194"/>
      <c r="AN58" s="184"/>
      <c r="AO58" s="195" t="s">
        <v>48</v>
      </c>
      <c r="AP58" s="155">
        <f t="shared" si="3"/>
        <v>-6.7794571428571437</v>
      </c>
      <c r="AQ58" s="184"/>
      <c r="AR58" s="184"/>
      <c r="AS58" s="184"/>
      <c r="AT58" s="184" t="s">
        <v>49</v>
      </c>
      <c r="AU58" s="184"/>
      <c r="AV58" s="184"/>
      <c r="AW58" s="184"/>
      <c r="AX58" s="184"/>
      <c r="AY58" s="184"/>
      <c r="AZ58" s="176"/>
      <c r="BA58" s="177"/>
      <c r="BB58" s="195" t="s">
        <v>48</v>
      </c>
      <c r="BC58" s="155">
        <f t="shared" si="8"/>
        <v>-67.79457142857143</v>
      </c>
      <c r="BD58" s="177"/>
      <c r="BE58" s="177"/>
      <c r="BF58" s="177"/>
      <c r="BG58" s="177"/>
      <c r="BH58" s="177"/>
      <c r="BI58" s="177"/>
      <c r="BJ58" s="177"/>
      <c r="BK58" s="177"/>
      <c r="BL58" s="178"/>
      <c r="BN58" s="179"/>
      <c r="BO58" s="385" t="str">
        <f>IF(AND(BQ29='Category Reference Values'!$C$11,Calculator!BQ41='Category Reference Values'!$C$6),"Agricultural sites cannot be directly converted to Near-natural sites.",IF(AND(BQ29='Category Reference Values'!$C$10,Calculator!BQ41='Category Reference Values'!$C$6),"Agricultural sites cannot be directly converted to Near-natural sites.",IF(AND(BQ29='Category Reference Values'!$C$9,Calculator!BQ41='Category Reference Values'!$C$6),"Agricultural sites cannot be directly converted to Near-natural sites.","")))</f>
        <v/>
      </c>
      <c r="BP58" s="386"/>
      <c r="BQ58" s="387"/>
      <c r="BR58" s="187"/>
      <c r="BS58" s="194"/>
      <c r="BT58" s="184"/>
      <c r="BU58" s="195" t="s">
        <v>48</v>
      </c>
      <c r="BV58" s="155" t="e">
        <f t="shared" si="4"/>
        <v>#VALUE!</v>
      </c>
      <c r="BW58" s="184"/>
      <c r="BX58" s="184"/>
      <c r="BY58" s="184"/>
      <c r="BZ58" s="184" t="s">
        <v>49</v>
      </c>
      <c r="CA58" s="184"/>
      <c r="CB58" s="184"/>
      <c r="CC58" s="184"/>
      <c r="CD58" s="184"/>
      <c r="CE58" s="184"/>
      <c r="CF58" s="176"/>
      <c r="CG58" s="177"/>
      <c r="CH58" s="195" t="s">
        <v>48</v>
      </c>
      <c r="CI58" s="155" t="str">
        <f t="shared" si="9"/>
        <v>N/a</v>
      </c>
      <c r="CJ58" s="177"/>
      <c r="CK58" s="177"/>
      <c r="CL58" s="177"/>
      <c r="CM58" s="177"/>
      <c r="CN58" s="177"/>
      <c r="CO58" s="177"/>
      <c r="CP58" s="177"/>
      <c r="CQ58" s="177"/>
      <c r="CR58" s="178"/>
      <c r="CT58" s="179"/>
      <c r="CU58" s="385" t="str">
        <f>IF(AND(CW29='Category Reference Values'!$C$11,Calculator!CW41='Category Reference Values'!$C$6),"Agricultural sites cannot be directly converted to Near-natural sites.",IF(AND(CW29='Category Reference Values'!$C$10,Calculator!CW41='Category Reference Values'!$C$6),"Agricultural sites cannot be directly converted to Near-natural sites.",IF(AND(CW29='Category Reference Values'!$C$9,Calculator!CW41='Category Reference Values'!$C$6),"Agricultural sites cannot be directly converted to Near-natural sites.","")))</f>
        <v/>
      </c>
      <c r="CV58" s="386"/>
      <c r="CW58" s="387"/>
      <c r="CX58" s="187"/>
      <c r="CY58" s="194"/>
      <c r="CZ58" s="184"/>
      <c r="DA58" s="195" t="s">
        <v>48</v>
      </c>
      <c r="DB58" s="155" t="e">
        <f t="shared" si="5"/>
        <v>#VALUE!</v>
      </c>
      <c r="DC58" s="184"/>
      <c r="DD58" s="184"/>
      <c r="DE58" s="184"/>
      <c r="DF58" s="184" t="s">
        <v>49</v>
      </c>
      <c r="DG58" s="184"/>
      <c r="DH58" s="184"/>
      <c r="DI58" s="184"/>
      <c r="DJ58" s="184"/>
      <c r="DK58" s="184"/>
      <c r="DL58" s="176"/>
      <c r="DM58" s="177"/>
      <c r="DN58" s="195" t="s">
        <v>48</v>
      </c>
      <c r="DO58" s="155" t="str">
        <f t="shared" si="10"/>
        <v>N/a</v>
      </c>
      <c r="DP58" s="177"/>
      <c r="DQ58" s="177"/>
      <c r="DR58" s="177"/>
      <c r="DS58" s="177"/>
      <c r="DT58" s="177"/>
      <c r="DU58" s="177"/>
      <c r="DV58" s="177"/>
      <c r="DW58" s="177"/>
      <c r="DX58" s="178"/>
      <c r="DZ58" s="179"/>
      <c r="EA58" s="385" t="str">
        <f>IF(AND(EC29='Category Reference Values'!$C$11,Calculator!EC41='Category Reference Values'!$C$6),"Agricultural sites cannot be directly converted to Near-natural sites.",IF(AND(EC29='Category Reference Values'!$C$10,Calculator!EC41='Category Reference Values'!$C$6),"Agricultural sites cannot be directly converted to Near-natural sites.",IF(AND(EC29='Category Reference Values'!$C$9,Calculator!EC41='Category Reference Values'!$C$6),"Agricultural sites cannot be directly converted to Near-natural sites.","")))</f>
        <v/>
      </c>
      <c r="EB58" s="386"/>
      <c r="EC58" s="387"/>
      <c r="ED58" s="187"/>
      <c r="EE58" s="194"/>
      <c r="EF58" s="184"/>
      <c r="EG58" s="195" t="s">
        <v>48</v>
      </c>
      <c r="EH58" s="155" t="e">
        <f t="shared" si="6"/>
        <v>#VALUE!</v>
      </c>
      <c r="EI58" s="184"/>
      <c r="EJ58" s="184"/>
      <c r="EK58" s="184"/>
      <c r="EL58" s="184" t="s">
        <v>49</v>
      </c>
      <c r="EM58" s="184"/>
      <c r="EN58" s="184"/>
      <c r="EO58" s="184"/>
      <c r="EP58" s="184"/>
      <c r="EQ58" s="184"/>
      <c r="ER58" s="176"/>
      <c r="ES58" s="177"/>
      <c r="ET58" s="195" t="s">
        <v>48</v>
      </c>
      <c r="EU58" s="155" t="str">
        <f t="shared" si="11"/>
        <v>N/a</v>
      </c>
      <c r="EV58" s="177"/>
      <c r="EW58" s="177"/>
      <c r="EX58" s="177"/>
      <c r="EY58" s="177"/>
      <c r="EZ58" s="177"/>
      <c r="FA58" s="177"/>
      <c r="FB58" s="177"/>
      <c r="FC58" s="177"/>
      <c r="FD58" s="178"/>
    </row>
    <row r="59" spans="2:160" ht="15.75" thickBot="1" x14ac:dyDescent="0.3">
      <c r="B59" s="179"/>
      <c r="C59" s="382" t="str">
        <f>IF(C58="","","Please use Re-wetted Fen as final land use category instead.")</f>
        <v/>
      </c>
      <c r="D59" s="383"/>
      <c r="E59" s="384"/>
      <c r="F59" s="187"/>
      <c r="G59" s="194"/>
      <c r="H59" s="184"/>
      <c r="I59" s="195" t="s">
        <v>51</v>
      </c>
      <c r="J59" s="155" t="e">
        <f t="shared" si="2"/>
        <v>#N/A</v>
      </c>
      <c r="K59" s="184"/>
      <c r="L59" s="184"/>
      <c r="M59" s="184"/>
      <c r="N59" s="184"/>
      <c r="O59" s="184"/>
      <c r="P59" s="184"/>
      <c r="Q59" s="184"/>
      <c r="R59" s="184"/>
      <c r="S59" s="184"/>
      <c r="T59" s="176"/>
      <c r="U59" s="177"/>
      <c r="V59" s="195" t="s">
        <v>51</v>
      </c>
      <c r="W59" s="155" t="e">
        <f t="shared" si="7"/>
        <v>#N/A</v>
      </c>
      <c r="X59" s="177"/>
      <c r="Y59" s="177"/>
      <c r="Z59" s="177"/>
      <c r="AA59" s="177"/>
      <c r="AB59" s="177"/>
      <c r="AC59" s="177"/>
      <c r="AD59" s="177"/>
      <c r="AE59" s="177"/>
      <c r="AF59" s="178"/>
      <c r="AH59" s="179"/>
      <c r="AI59" s="382" t="str">
        <f>IF(AI58="","","Please use Re-wetted Fen as final land use category instead.")</f>
        <v/>
      </c>
      <c r="AJ59" s="383"/>
      <c r="AK59" s="384"/>
      <c r="AL59" s="187"/>
      <c r="AM59" s="194"/>
      <c r="AN59" s="184"/>
      <c r="AO59" s="195" t="s">
        <v>51</v>
      </c>
      <c r="AP59" s="155">
        <f t="shared" si="3"/>
        <v>-8.6531992388668417</v>
      </c>
      <c r="AQ59" s="184"/>
      <c r="AR59" s="184"/>
      <c r="AS59" s="184"/>
      <c r="AT59" s="184"/>
      <c r="AU59" s="184"/>
      <c r="AV59" s="184"/>
      <c r="AW59" s="184"/>
      <c r="AX59" s="184"/>
      <c r="AY59" s="184"/>
      <c r="AZ59" s="176"/>
      <c r="BA59" s="177"/>
      <c r="BB59" s="195" t="s">
        <v>51</v>
      </c>
      <c r="BC59" s="155">
        <f t="shared" si="8"/>
        <v>-86.531992388668414</v>
      </c>
      <c r="BD59" s="177"/>
      <c r="BE59" s="177"/>
      <c r="BF59" s="177"/>
      <c r="BG59" s="177"/>
      <c r="BH59" s="177"/>
      <c r="BI59" s="177"/>
      <c r="BJ59" s="177"/>
      <c r="BK59" s="177"/>
      <c r="BL59" s="178"/>
      <c r="BN59" s="179"/>
      <c r="BO59" s="382" t="str">
        <f>IF(BO58="","","Please use Re-wetted Fen as final land use category instead.")</f>
        <v/>
      </c>
      <c r="BP59" s="383"/>
      <c r="BQ59" s="384"/>
      <c r="BR59" s="187"/>
      <c r="BS59" s="194"/>
      <c r="BT59" s="184"/>
      <c r="BU59" s="195" t="s">
        <v>51</v>
      </c>
      <c r="BV59" s="155" t="e">
        <f t="shared" si="4"/>
        <v>#VALUE!</v>
      </c>
      <c r="BW59" s="184"/>
      <c r="BX59" s="184"/>
      <c r="BY59" s="184"/>
      <c r="BZ59" s="184"/>
      <c r="CA59" s="184"/>
      <c r="CB59" s="184"/>
      <c r="CC59" s="184"/>
      <c r="CD59" s="184"/>
      <c r="CE59" s="184"/>
      <c r="CF59" s="176"/>
      <c r="CG59" s="177"/>
      <c r="CH59" s="195" t="s">
        <v>51</v>
      </c>
      <c r="CI59" s="155" t="str">
        <f t="shared" si="9"/>
        <v>N/a</v>
      </c>
      <c r="CJ59" s="177"/>
      <c r="CK59" s="177"/>
      <c r="CL59" s="177"/>
      <c r="CM59" s="177"/>
      <c r="CN59" s="177"/>
      <c r="CO59" s="177"/>
      <c r="CP59" s="177"/>
      <c r="CQ59" s="177"/>
      <c r="CR59" s="178"/>
      <c r="CT59" s="179"/>
      <c r="CU59" s="382" t="str">
        <f>IF(CU58="","","Please use Re-wetted Fen as final land use category instead.")</f>
        <v/>
      </c>
      <c r="CV59" s="383"/>
      <c r="CW59" s="384"/>
      <c r="CX59" s="187"/>
      <c r="CY59" s="194"/>
      <c r="CZ59" s="184"/>
      <c r="DA59" s="195" t="s">
        <v>51</v>
      </c>
      <c r="DB59" s="155" t="e">
        <f t="shared" si="5"/>
        <v>#VALUE!</v>
      </c>
      <c r="DC59" s="184"/>
      <c r="DD59" s="184"/>
      <c r="DE59" s="184"/>
      <c r="DF59" s="184"/>
      <c r="DG59" s="184"/>
      <c r="DH59" s="184"/>
      <c r="DI59" s="184"/>
      <c r="DJ59" s="184"/>
      <c r="DK59" s="184"/>
      <c r="DL59" s="176"/>
      <c r="DM59" s="177"/>
      <c r="DN59" s="195" t="s">
        <v>51</v>
      </c>
      <c r="DO59" s="155" t="str">
        <f t="shared" si="10"/>
        <v>N/a</v>
      </c>
      <c r="DP59" s="177"/>
      <c r="DQ59" s="177"/>
      <c r="DR59" s="177"/>
      <c r="DS59" s="177"/>
      <c r="DT59" s="177"/>
      <c r="DU59" s="177"/>
      <c r="DV59" s="177"/>
      <c r="DW59" s="177"/>
      <c r="DX59" s="178"/>
      <c r="DZ59" s="179"/>
      <c r="EA59" s="382" t="str">
        <f>IF(EA58="","","Please use Re-wetted Fen as final land use category instead.")</f>
        <v/>
      </c>
      <c r="EB59" s="383"/>
      <c r="EC59" s="384"/>
      <c r="ED59" s="187"/>
      <c r="EE59" s="194"/>
      <c r="EF59" s="184"/>
      <c r="EG59" s="195" t="s">
        <v>51</v>
      </c>
      <c r="EH59" s="155" t="e">
        <f t="shared" si="6"/>
        <v>#VALUE!</v>
      </c>
      <c r="EI59" s="184"/>
      <c r="EJ59" s="184"/>
      <c r="EK59" s="184"/>
      <c r="EL59" s="184"/>
      <c r="EM59" s="184"/>
      <c r="EN59" s="184"/>
      <c r="EO59" s="184"/>
      <c r="EP59" s="184"/>
      <c r="EQ59" s="184"/>
      <c r="ER59" s="176"/>
      <c r="ES59" s="177"/>
      <c r="ET59" s="195" t="s">
        <v>51</v>
      </c>
      <c r="EU59" s="155" t="str">
        <f t="shared" si="11"/>
        <v>N/a</v>
      </c>
      <c r="EV59" s="177"/>
      <c r="EW59" s="177"/>
      <c r="EX59" s="177"/>
      <c r="EY59" s="177"/>
      <c r="EZ59" s="177"/>
      <c r="FA59" s="177"/>
      <c r="FB59" s="177"/>
      <c r="FC59" s="177"/>
      <c r="FD59" s="178"/>
    </row>
    <row r="60" spans="2:160" ht="21.75" thickBot="1" x14ac:dyDescent="0.4">
      <c r="B60" s="179"/>
      <c r="C60" s="388" t="str">
        <f>IF($E$41&lt;&gt;'Category Reference Values'!$C$8,"",IF(AND($E$41='Category Reference Values'!$C$8,Calculator!$E$29='Category Reference Values'!$C$6),"",IF(AND(Calculator!$E$41='Category Reference Values'!$C$8,Calculator!$E$29='Category Reference Values'!$C$8),"","Modified Fen can only be final land use if original was Near-Natural/Modified Fen.")))</f>
        <v/>
      </c>
      <c r="D60" s="389"/>
      <c r="E60" s="390"/>
      <c r="F60" s="187"/>
      <c r="G60" s="194"/>
      <c r="H60" s="184"/>
      <c r="I60" s="192" t="s">
        <v>53</v>
      </c>
      <c r="J60" s="161" t="e">
        <f t="shared" si="2"/>
        <v>#N/A</v>
      </c>
      <c r="K60" s="183" t="s">
        <v>54</v>
      </c>
      <c r="L60" s="184"/>
      <c r="M60" s="184"/>
      <c r="N60" s="184" t="s">
        <v>66</v>
      </c>
      <c r="O60" s="184"/>
      <c r="P60" s="184"/>
      <c r="Q60" s="184"/>
      <c r="R60" s="184"/>
      <c r="S60" s="184"/>
      <c r="T60" s="176"/>
      <c r="U60" s="177"/>
      <c r="V60" s="192" t="s">
        <v>53</v>
      </c>
      <c r="W60" s="161" t="e">
        <f t="shared" si="7"/>
        <v>#N/A</v>
      </c>
      <c r="X60" s="186" t="s">
        <v>54</v>
      </c>
      <c r="Y60" s="177"/>
      <c r="Z60" s="177"/>
      <c r="AA60" s="177"/>
      <c r="AB60" s="177"/>
      <c r="AC60" s="177"/>
      <c r="AD60" s="177"/>
      <c r="AE60" s="177"/>
      <c r="AF60" s="178"/>
      <c r="AH60" s="179"/>
      <c r="AI60" s="388" t="str">
        <f>IF(AK41&lt;&gt;'Category Reference Values'!$C$8,"",IF(AND(AK41='Category Reference Values'!$C$8,Calculator!AK29='Category Reference Values'!$C$6),"",IF(AND(Calculator!AK41='Category Reference Values'!$C$8,Calculator!AK29='Category Reference Values'!$C$8),"","Modified Fen can only be final land use if original was Near-Natural/Modified Fen.")))</f>
        <v/>
      </c>
      <c r="AJ60" s="389"/>
      <c r="AK60" s="390"/>
      <c r="AL60" s="187"/>
      <c r="AM60" s="194"/>
      <c r="AN60" s="184"/>
      <c r="AO60" s="192" t="s">
        <v>53</v>
      </c>
      <c r="AP60" s="161">
        <f t="shared" si="3"/>
        <v>-15.432656381723984</v>
      </c>
      <c r="AQ60" s="183" t="s">
        <v>54</v>
      </c>
      <c r="AR60" s="184"/>
      <c r="AS60" s="184"/>
      <c r="AT60" s="184" t="s">
        <v>66</v>
      </c>
      <c r="AU60" s="184"/>
      <c r="AV60" s="184"/>
      <c r="AW60" s="184"/>
      <c r="AX60" s="184"/>
      <c r="AY60" s="184"/>
      <c r="AZ60" s="176"/>
      <c r="BA60" s="177"/>
      <c r="BB60" s="192" t="s">
        <v>53</v>
      </c>
      <c r="BC60" s="161">
        <f t="shared" si="8"/>
        <v>-154.32656381723984</v>
      </c>
      <c r="BD60" s="186" t="s">
        <v>54</v>
      </c>
      <c r="BE60" s="177"/>
      <c r="BF60" s="177"/>
      <c r="BG60" s="177"/>
      <c r="BH60" s="177"/>
      <c r="BI60" s="177"/>
      <c r="BJ60" s="177"/>
      <c r="BK60" s="177"/>
      <c r="BL60" s="178"/>
      <c r="BN60" s="179"/>
      <c r="BO60" s="388" t="str">
        <f>IF(BQ41&lt;&gt;'Category Reference Values'!$C$8,"",IF(AND(BQ41='Category Reference Values'!$C$8,Calculator!BQ29='Category Reference Values'!$C$6),"",IF(AND(Calculator!BQ41='Category Reference Values'!$C$8,Calculator!BQ29='Category Reference Values'!$C$8),"","Modified Fen can only be final land use if original was Near-Natural/Modified Fen.")))</f>
        <v/>
      </c>
      <c r="BP60" s="389"/>
      <c r="BQ60" s="390"/>
      <c r="BR60" s="187"/>
      <c r="BS60" s="194"/>
      <c r="BT60" s="184"/>
      <c r="BU60" s="192" t="s">
        <v>53</v>
      </c>
      <c r="BV60" s="161" t="e">
        <f t="shared" si="4"/>
        <v>#VALUE!</v>
      </c>
      <c r="BW60" s="183" t="s">
        <v>54</v>
      </c>
      <c r="BX60" s="184"/>
      <c r="BY60" s="184"/>
      <c r="BZ60" s="184" t="s">
        <v>66</v>
      </c>
      <c r="CA60" s="184"/>
      <c r="CB60" s="184"/>
      <c r="CC60" s="184"/>
      <c r="CD60" s="184"/>
      <c r="CE60" s="184"/>
      <c r="CF60" s="176"/>
      <c r="CG60" s="177"/>
      <c r="CH60" s="192" t="s">
        <v>53</v>
      </c>
      <c r="CI60" s="161" t="str">
        <f t="shared" si="9"/>
        <v>N/a</v>
      </c>
      <c r="CJ60" s="186" t="s">
        <v>54</v>
      </c>
      <c r="CK60" s="177"/>
      <c r="CL60" s="177"/>
      <c r="CM60" s="177"/>
      <c r="CN60" s="177"/>
      <c r="CO60" s="177"/>
      <c r="CP60" s="177"/>
      <c r="CQ60" s="177"/>
      <c r="CR60" s="178"/>
      <c r="CT60" s="179"/>
      <c r="CU60" s="388" t="str">
        <f>IF(CW41&lt;&gt;'Category Reference Values'!$C$8,"",IF(AND(CW41='Category Reference Values'!$C$8,Calculator!CW29='Category Reference Values'!$C$6),"",IF(AND(Calculator!CW41='Category Reference Values'!$C$8,Calculator!CW29='Category Reference Values'!$C$8),"","Modified Fen can only be final land use if original was Near-Natural/Modified Fen.")))</f>
        <v/>
      </c>
      <c r="CV60" s="389"/>
      <c r="CW60" s="390"/>
      <c r="CX60" s="187"/>
      <c r="CY60" s="194"/>
      <c r="CZ60" s="184"/>
      <c r="DA60" s="192" t="s">
        <v>53</v>
      </c>
      <c r="DB60" s="161" t="e">
        <f t="shared" si="5"/>
        <v>#VALUE!</v>
      </c>
      <c r="DC60" s="183" t="s">
        <v>54</v>
      </c>
      <c r="DD60" s="184"/>
      <c r="DE60" s="184"/>
      <c r="DF60" s="184" t="s">
        <v>66</v>
      </c>
      <c r="DG60" s="184"/>
      <c r="DH60" s="184"/>
      <c r="DI60" s="184"/>
      <c r="DJ60" s="184"/>
      <c r="DK60" s="184"/>
      <c r="DL60" s="176"/>
      <c r="DM60" s="177"/>
      <c r="DN60" s="192" t="s">
        <v>53</v>
      </c>
      <c r="DO60" s="161" t="str">
        <f t="shared" si="10"/>
        <v>N/a</v>
      </c>
      <c r="DP60" s="186" t="s">
        <v>54</v>
      </c>
      <c r="DQ60" s="177"/>
      <c r="DR60" s="177"/>
      <c r="DS60" s="177"/>
      <c r="DT60" s="177"/>
      <c r="DU60" s="177"/>
      <c r="DV60" s="177"/>
      <c r="DW60" s="177"/>
      <c r="DX60" s="178"/>
      <c r="DZ60" s="179"/>
      <c r="EA60" s="388" t="str">
        <f>IF(EC41&lt;&gt;'Category Reference Values'!$C$8,"",IF(AND(EC41='Category Reference Values'!$C$8,Calculator!EC29='Category Reference Values'!$C$6),"",IF(AND(Calculator!EC41='Category Reference Values'!$C$8,Calculator!EC29='Category Reference Values'!$C$8),"","Modified Fen can only be final land use if original was Near-Natural/Modified Fen.")))</f>
        <v/>
      </c>
      <c r="EB60" s="389"/>
      <c r="EC60" s="390"/>
      <c r="ED60" s="187"/>
      <c r="EE60" s="194"/>
      <c r="EF60" s="184"/>
      <c r="EG60" s="192" t="s">
        <v>53</v>
      </c>
      <c r="EH60" s="161" t="e">
        <f t="shared" si="6"/>
        <v>#VALUE!</v>
      </c>
      <c r="EI60" s="183" t="s">
        <v>54</v>
      </c>
      <c r="EJ60" s="184"/>
      <c r="EK60" s="184"/>
      <c r="EL60" s="184" t="s">
        <v>66</v>
      </c>
      <c r="EM60" s="184"/>
      <c r="EN60" s="184"/>
      <c r="EO60" s="184"/>
      <c r="EP60" s="184"/>
      <c r="EQ60" s="184"/>
      <c r="ER60" s="176"/>
      <c r="ES60" s="177"/>
      <c r="ET60" s="192" t="s">
        <v>53</v>
      </c>
      <c r="EU60" s="161" t="str">
        <f t="shared" si="11"/>
        <v>N/a</v>
      </c>
      <c r="EV60" s="186" t="s">
        <v>54</v>
      </c>
      <c r="EW60" s="177"/>
      <c r="EX60" s="177"/>
      <c r="EY60" s="177"/>
      <c r="EZ60" s="177"/>
      <c r="FA60" s="177"/>
      <c r="FB60" s="177"/>
      <c r="FC60" s="177"/>
      <c r="FD60" s="178"/>
    </row>
    <row r="61" spans="2:160" ht="15.75" thickBot="1" x14ac:dyDescent="0.3">
      <c r="B61" s="196"/>
      <c r="C61" s="197"/>
      <c r="D61" s="198"/>
      <c r="E61" s="198"/>
      <c r="F61" s="199"/>
      <c r="G61" s="200"/>
      <c r="H61" s="201"/>
      <c r="I61" s="201"/>
      <c r="J61" s="201"/>
      <c r="K61" s="201"/>
      <c r="L61" s="201"/>
      <c r="M61" s="201"/>
      <c r="N61" s="201"/>
      <c r="O61" s="201"/>
      <c r="P61" s="201"/>
      <c r="Q61" s="201"/>
      <c r="R61" s="201"/>
      <c r="S61" s="201"/>
      <c r="T61" s="202"/>
      <c r="U61" s="203"/>
      <c r="V61" s="203"/>
      <c r="W61" s="203"/>
      <c r="X61" s="203"/>
      <c r="Y61" s="203"/>
      <c r="Z61" s="203"/>
      <c r="AA61" s="203"/>
      <c r="AB61" s="203"/>
      <c r="AC61" s="203"/>
      <c r="AD61" s="203"/>
      <c r="AE61" s="203"/>
      <c r="AF61" s="204"/>
      <c r="AH61" s="196"/>
      <c r="AI61" s="197"/>
      <c r="AJ61" s="198"/>
      <c r="AK61" s="198"/>
      <c r="AL61" s="199"/>
      <c r="AM61" s="200"/>
      <c r="AN61" s="201"/>
      <c r="AO61" s="201"/>
      <c r="AP61" s="201"/>
      <c r="AQ61" s="201"/>
      <c r="AR61" s="201"/>
      <c r="AS61" s="201"/>
      <c r="AT61" s="201"/>
      <c r="AU61" s="201"/>
      <c r="AV61" s="201"/>
      <c r="AW61" s="201"/>
      <c r="AX61" s="201"/>
      <c r="AY61" s="201"/>
      <c r="AZ61" s="202"/>
      <c r="BA61" s="203"/>
      <c r="BB61" s="203"/>
      <c r="BC61" s="203"/>
      <c r="BD61" s="203"/>
      <c r="BE61" s="203"/>
      <c r="BF61" s="203"/>
      <c r="BG61" s="203"/>
      <c r="BH61" s="203"/>
      <c r="BI61" s="203"/>
      <c r="BJ61" s="203"/>
      <c r="BK61" s="203"/>
      <c r="BL61" s="204"/>
      <c r="BN61" s="196"/>
      <c r="BO61" s="197"/>
      <c r="BP61" s="198"/>
      <c r="BQ61" s="198"/>
      <c r="BR61" s="199"/>
      <c r="BS61" s="200"/>
      <c r="BT61" s="201"/>
      <c r="BU61" s="201"/>
      <c r="BV61" s="201"/>
      <c r="BW61" s="201"/>
      <c r="BX61" s="201"/>
      <c r="BY61" s="201"/>
      <c r="BZ61" s="201"/>
      <c r="CA61" s="201"/>
      <c r="CB61" s="201"/>
      <c r="CC61" s="201"/>
      <c r="CD61" s="201"/>
      <c r="CE61" s="201"/>
      <c r="CF61" s="202"/>
      <c r="CG61" s="203"/>
      <c r="CH61" s="203"/>
      <c r="CI61" s="203"/>
      <c r="CJ61" s="203"/>
      <c r="CK61" s="203"/>
      <c r="CL61" s="203"/>
      <c r="CM61" s="203"/>
      <c r="CN61" s="203"/>
      <c r="CO61" s="203"/>
      <c r="CP61" s="203"/>
      <c r="CQ61" s="203"/>
      <c r="CR61" s="204"/>
      <c r="CT61" s="196"/>
      <c r="CU61" s="197"/>
      <c r="CV61" s="198"/>
      <c r="CW61" s="198"/>
      <c r="CX61" s="199"/>
      <c r="CY61" s="200"/>
      <c r="CZ61" s="201"/>
      <c r="DA61" s="201"/>
      <c r="DB61" s="201"/>
      <c r="DC61" s="201"/>
      <c r="DD61" s="201"/>
      <c r="DE61" s="201"/>
      <c r="DF61" s="201"/>
      <c r="DG61" s="201"/>
      <c r="DH61" s="201"/>
      <c r="DI61" s="201"/>
      <c r="DJ61" s="201"/>
      <c r="DK61" s="201"/>
      <c r="DL61" s="202"/>
      <c r="DM61" s="203"/>
      <c r="DN61" s="203"/>
      <c r="DO61" s="203"/>
      <c r="DP61" s="203"/>
      <c r="DQ61" s="203"/>
      <c r="DR61" s="203"/>
      <c r="DS61" s="203"/>
      <c r="DT61" s="203"/>
      <c r="DU61" s="203"/>
      <c r="DV61" s="203"/>
      <c r="DW61" s="203"/>
      <c r="DX61" s="204"/>
      <c r="DZ61" s="196"/>
      <c r="EA61" s="197"/>
      <c r="EB61" s="198"/>
      <c r="EC61" s="198"/>
      <c r="ED61" s="199"/>
      <c r="EE61" s="200"/>
      <c r="EF61" s="201"/>
      <c r="EG61" s="201"/>
      <c r="EH61" s="201"/>
      <c r="EI61" s="201"/>
      <c r="EJ61" s="201"/>
      <c r="EK61" s="201"/>
      <c r="EL61" s="201"/>
      <c r="EM61" s="201"/>
      <c r="EN61" s="201"/>
      <c r="EO61" s="201"/>
      <c r="EP61" s="201"/>
      <c r="EQ61" s="201"/>
      <c r="ER61" s="202"/>
      <c r="ES61" s="203"/>
      <c r="ET61" s="203"/>
      <c r="EU61" s="203"/>
      <c r="EV61" s="203"/>
      <c r="EW61" s="203"/>
      <c r="EX61" s="203"/>
      <c r="EY61" s="203"/>
      <c r="EZ61" s="203"/>
      <c r="FA61" s="203"/>
      <c r="FB61" s="203"/>
      <c r="FC61" s="203"/>
      <c r="FD61" s="204"/>
    </row>
    <row r="62" spans="2:160" ht="15.75" thickBot="1" x14ac:dyDescent="0.3">
      <c r="G62" s="205"/>
      <c r="H62" s="206"/>
      <c r="I62" s="206"/>
      <c r="J62" s="206"/>
      <c r="K62" s="206"/>
      <c r="L62" s="206"/>
      <c r="M62" s="206"/>
      <c r="N62" s="206"/>
      <c r="O62" s="206"/>
      <c r="P62" s="206"/>
      <c r="Q62" s="206"/>
      <c r="R62" s="206"/>
      <c r="S62" s="207"/>
      <c r="T62" s="208"/>
      <c r="U62" s="209"/>
      <c r="V62" s="209"/>
      <c r="W62" s="209"/>
      <c r="X62" s="209"/>
      <c r="Y62" s="209"/>
      <c r="Z62" s="209"/>
      <c r="AA62" s="209"/>
      <c r="AB62" s="209"/>
      <c r="AC62" s="209"/>
      <c r="AD62" s="209"/>
      <c r="AE62" s="209"/>
      <c r="AF62" s="210"/>
      <c r="AM62" s="205"/>
      <c r="AN62" s="206"/>
      <c r="AO62" s="206"/>
      <c r="AP62" s="206"/>
      <c r="AQ62" s="206"/>
      <c r="AR62" s="206"/>
      <c r="AS62" s="206"/>
      <c r="AT62" s="206"/>
      <c r="AU62" s="206"/>
      <c r="AV62" s="206"/>
      <c r="AW62" s="206"/>
      <c r="AX62" s="206"/>
      <c r="AY62" s="207"/>
      <c r="AZ62" s="208"/>
      <c r="BA62" s="209"/>
      <c r="BB62" s="209"/>
      <c r="BC62" s="209"/>
      <c r="BD62" s="209"/>
      <c r="BE62" s="209"/>
      <c r="BF62" s="209"/>
      <c r="BG62" s="209"/>
      <c r="BH62" s="209"/>
      <c r="BI62" s="209"/>
      <c r="BJ62" s="209"/>
      <c r="BK62" s="209"/>
      <c r="BL62" s="210"/>
      <c r="BS62" s="205"/>
      <c r="BT62" s="206"/>
      <c r="BU62" s="206"/>
      <c r="BV62" s="206"/>
      <c r="BW62" s="206"/>
      <c r="BX62" s="206"/>
      <c r="BY62" s="206"/>
      <c r="BZ62" s="206"/>
      <c r="CA62" s="206"/>
      <c r="CB62" s="206"/>
      <c r="CC62" s="206"/>
      <c r="CD62" s="206"/>
      <c r="CE62" s="207"/>
      <c r="CF62" s="208"/>
      <c r="CG62" s="209"/>
      <c r="CH62" s="209"/>
      <c r="CI62" s="209"/>
      <c r="CJ62" s="209"/>
      <c r="CK62" s="209"/>
      <c r="CL62" s="209"/>
      <c r="CM62" s="209"/>
      <c r="CN62" s="209"/>
      <c r="CO62" s="209"/>
      <c r="CP62" s="209"/>
      <c r="CQ62" s="209"/>
      <c r="CR62" s="210"/>
      <c r="CY62" s="205"/>
      <c r="CZ62" s="206"/>
      <c r="DA62" s="206"/>
      <c r="DB62" s="206"/>
      <c r="DC62" s="206"/>
      <c r="DD62" s="206"/>
      <c r="DE62" s="206"/>
      <c r="DF62" s="206"/>
      <c r="DG62" s="206"/>
      <c r="DH62" s="206"/>
      <c r="DI62" s="206"/>
      <c r="DJ62" s="206"/>
      <c r="DK62" s="207"/>
      <c r="DL62" s="208"/>
      <c r="DM62" s="209"/>
      <c r="DN62" s="209"/>
      <c r="DO62" s="209"/>
      <c r="DP62" s="209"/>
      <c r="DQ62" s="209"/>
      <c r="DR62" s="209"/>
      <c r="DS62" s="209"/>
      <c r="DT62" s="209"/>
      <c r="DU62" s="209"/>
      <c r="DV62" s="209"/>
      <c r="DW62" s="209"/>
      <c r="DX62" s="210"/>
      <c r="EE62" s="205"/>
      <c r="EF62" s="206"/>
      <c r="EG62" s="206"/>
      <c r="EH62" s="206"/>
      <c r="EI62" s="206"/>
      <c r="EJ62" s="206"/>
      <c r="EK62" s="206"/>
      <c r="EL62" s="206"/>
      <c r="EM62" s="206"/>
      <c r="EN62" s="206"/>
      <c r="EO62" s="206"/>
      <c r="EP62" s="206"/>
      <c r="EQ62" s="207"/>
      <c r="ER62" s="208"/>
      <c r="ES62" s="209"/>
      <c r="ET62" s="209"/>
      <c r="EU62" s="209"/>
      <c r="EV62" s="209"/>
      <c r="EW62" s="209"/>
      <c r="EX62" s="209"/>
      <c r="EY62" s="209"/>
      <c r="EZ62" s="209"/>
      <c r="FA62" s="209"/>
      <c r="FB62" s="209"/>
      <c r="FC62" s="209"/>
      <c r="FD62" s="210"/>
    </row>
    <row r="63" spans="2:160" ht="21.75" thickBot="1" x14ac:dyDescent="0.4">
      <c r="G63" s="211"/>
      <c r="H63" s="212"/>
      <c r="I63" s="374" t="s">
        <v>67</v>
      </c>
      <c r="J63" s="375"/>
      <c r="K63" s="212"/>
      <c r="L63" s="212"/>
      <c r="M63" s="212"/>
      <c r="N63" s="212"/>
      <c r="O63" s="212"/>
      <c r="P63" s="212"/>
      <c r="Q63" s="212"/>
      <c r="R63" s="213" t="s">
        <v>29</v>
      </c>
      <c r="S63" s="214"/>
      <c r="T63" s="215" t="s">
        <v>29</v>
      </c>
      <c r="U63" s="216"/>
      <c r="V63" s="374" t="str">
        <f>IF($E$16="","Transition period emissions (AU area)",CONCATENATE("Transition period emissions (",$E$16," ha)"))</f>
        <v>Transition period emissions (10 ha)</v>
      </c>
      <c r="W63" s="375"/>
      <c r="X63" s="216"/>
      <c r="Y63" s="216"/>
      <c r="Z63" s="216"/>
      <c r="AA63" s="216"/>
      <c r="AB63" s="216"/>
      <c r="AC63" s="216"/>
      <c r="AD63" s="216"/>
      <c r="AE63" s="216"/>
      <c r="AF63" s="217"/>
      <c r="AM63" s="211"/>
      <c r="AN63" s="212"/>
      <c r="AO63" s="374" t="s">
        <v>67</v>
      </c>
      <c r="AP63" s="375"/>
      <c r="AQ63" s="212"/>
      <c r="AR63" s="212"/>
      <c r="AS63" s="212"/>
      <c r="AT63" s="212"/>
      <c r="AU63" s="212"/>
      <c r="AV63" s="212"/>
      <c r="AW63" s="212"/>
      <c r="AX63" s="213" t="s">
        <v>29</v>
      </c>
      <c r="AY63" s="214"/>
      <c r="AZ63" s="215" t="s">
        <v>29</v>
      </c>
      <c r="BA63" s="216"/>
      <c r="BB63" s="374" t="str">
        <f>IF(AK21="","Transition period emissions (AU area)",CONCATENATE("Transition period emissions (",AK21," ha)"))</f>
        <v>Transition period emissions (10 ha)</v>
      </c>
      <c r="BC63" s="375"/>
      <c r="BD63" s="216"/>
      <c r="BE63" s="216"/>
      <c r="BF63" s="216"/>
      <c r="BG63" s="216"/>
      <c r="BH63" s="216"/>
      <c r="BI63" s="216"/>
      <c r="BJ63" s="216"/>
      <c r="BK63" s="216"/>
      <c r="BL63" s="217"/>
      <c r="BS63" s="211"/>
      <c r="BT63" s="212"/>
      <c r="BU63" s="374" t="s">
        <v>67</v>
      </c>
      <c r="BV63" s="375"/>
      <c r="BW63" s="212"/>
      <c r="BX63" s="212"/>
      <c r="BY63" s="212"/>
      <c r="BZ63" s="212"/>
      <c r="CA63" s="212"/>
      <c r="CB63" s="212"/>
      <c r="CC63" s="212"/>
      <c r="CD63" s="213" t="s">
        <v>29</v>
      </c>
      <c r="CE63" s="214"/>
      <c r="CF63" s="215" t="s">
        <v>29</v>
      </c>
      <c r="CG63" s="216"/>
      <c r="CH63" s="374" t="str">
        <f>IF(BQ21="","Transition period emissions (AU area)",CONCATENATE("Transition period emissions (",BQ21," ha)"))</f>
        <v>Transition period emissions (AU area)</v>
      </c>
      <c r="CI63" s="375"/>
      <c r="CJ63" s="216"/>
      <c r="CK63" s="216"/>
      <c r="CL63" s="216"/>
      <c r="CM63" s="216"/>
      <c r="CN63" s="216"/>
      <c r="CO63" s="216"/>
      <c r="CP63" s="216"/>
      <c r="CQ63" s="216"/>
      <c r="CR63" s="217"/>
      <c r="CY63" s="211"/>
      <c r="CZ63" s="212"/>
      <c r="DA63" s="374" t="s">
        <v>67</v>
      </c>
      <c r="DB63" s="375"/>
      <c r="DC63" s="212"/>
      <c r="DD63" s="212"/>
      <c r="DE63" s="212"/>
      <c r="DF63" s="212"/>
      <c r="DG63" s="212"/>
      <c r="DH63" s="212"/>
      <c r="DI63" s="212"/>
      <c r="DJ63" s="213" t="s">
        <v>29</v>
      </c>
      <c r="DK63" s="214"/>
      <c r="DL63" s="215" t="s">
        <v>29</v>
      </c>
      <c r="DM63" s="216"/>
      <c r="DN63" s="374" t="str">
        <f>IF(CW21="","Transition period emissions (AU area)",CONCATENATE("Transition period emissions (",CW21," ha)"))</f>
        <v>Transition period emissions (AU area)</v>
      </c>
      <c r="DO63" s="375"/>
      <c r="DP63" s="216"/>
      <c r="DQ63" s="216"/>
      <c r="DR63" s="216"/>
      <c r="DS63" s="216"/>
      <c r="DT63" s="216"/>
      <c r="DU63" s="216"/>
      <c r="DV63" s="216"/>
      <c r="DW63" s="216"/>
      <c r="DX63" s="217"/>
      <c r="EE63" s="211"/>
      <c r="EF63" s="212"/>
      <c r="EG63" s="374" t="s">
        <v>67</v>
      </c>
      <c r="EH63" s="375"/>
      <c r="EI63" s="212"/>
      <c r="EJ63" s="212"/>
      <c r="EK63" s="212"/>
      <c r="EL63" s="212"/>
      <c r="EM63" s="212"/>
      <c r="EN63" s="212"/>
      <c r="EO63" s="212"/>
      <c r="EP63" s="213" t="s">
        <v>29</v>
      </c>
      <c r="EQ63" s="214"/>
      <c r="ER63" s="215" t="s">
        <v>29</v>
      </c>
      <c r="ES63" s="216"/>
      <c r="ET63" s="374" t="str">
        <f>IF(EC21="","Transition period emissions (AU area)",CONCATENATE("Transition period emissions (",EC21," ha)"))</f>
        <v>Transition period emissions (AU area)</v>
      </c>
      <c r="EU63" s="375"/>
      <c r="EV63" s="216"/>
      <c r="EW63" s="216"/>
      <c r="EX63" s="216"/>
      <c r="EY63" s="216"/>
      <c r="EZ63" s="216"/>
      <c r="FA63" s="216"/>
      <c r="FB63" s="216"/>
      <c r="FC63" s="216"/>
      <c r="FD63" s="217"/>
    </row>
    <row r="64" spans="2:160" x14ac:dyDescent="0.25">
      <c r="G64" s="211"/>
      <c r="H64" s="212"/>
      <c r="I64" s="212"/>
      <c r="J64" s="212"/>
      <c r="K64" s="212"/>
      <c r="L64" s="212"/>
      <c r="M64" s="212"/>
      <c r="N64" s="212"/>
      <c r="O64" s="212"/>
      <c r="P64" s="212"/>
      <c r="Q64" s="212"/>
      <c r="R64" s="212"/>
      <c r="S64" s="218"/>
      <c r="T64" s="219"/>
      <c r="U64" s="216"/>
      <c r="V64" s="216"/>
      <c r="W64" s="216"/>
      <c r="X64" s="216"/>
      <c r="Y64" s="216"/>
      <c r="Z64" s="216"/>
      <c r="AA64" s="216"/>
      <c r="AB64" s="216"/>
      <c r="AC64" s="216"/>
      <c r="AD64" s="216"/>
      <c r="AE64" s="216"/>
      <c r="AF64" s="217"/>
      <c r="AM64" s="211"/>
      <c r="AN64" s="212"/>
      <c r="AO64" s="212"/>
      <c r="AP64" s="212"/>
      <c r="AQ64" s="212"/>
      <c r="AR64" s="212"/>
      <c r="AS64" s="212"/>
      <c r="AT64" s="212"/>
      <c r="AU64" s="212"/>
      <c r="AV64" s="212"/>
      <c r="AW64" s="212"/>
      <c r="AX64" s="212"/>
      <c r="AY64" s="218"/>
      <c r="AZ64" s="219"/>
      <c r="BA64" s="216"/>
      <c r="BB64" s="216"/>
      <c r="BC64" s="216"/>
      <c r="BD64" s="216"/>
      <c r="BE64" s="216"/>
      <c r="BF64" s="216"/>
      <c r="BG64" s="216"/>
      <c r="BH64" s="216"/>
      <c r="BI64" s="216"/>
      <c r="BJ64" s="216"/>
      <c r="BK64" s="216"/>
      <c r="BL64" s="217"/>
      <c r="BS64" s="211"/>
      <c r="BT64" s="212"/>
      <c r="BU64" s="212"/>
      <c r="BV64" s="212"/>
      <c r="BW64" s="212"/>
      <c r="BX64" s="212"/>
      <c r="BY64" s="212"/>
      <c r="BZ64" s="212"/>
      <c r="CA64" s="212"/>
      <c r="CB64" s="212"/>
      <c r="CC64" s="212"/>
      <c r="CD64" s="212"/>
      <c r="CE64" s="218"/>
      <c r="CF64" s="219"/>
      <c r="CG64" s="216"/>
      <c r="CH64" s="216"/>
      <c r="CI64" s="216"/>
      <c r="CJ64" s="216"/>
      <c r="CK64" s="216"/>
      <c r="CL64" s="216"/>
      <c r="CM64" s="216"/>
      <c r="CN64" s="216"/>
      <c r="CO64" s="216"/>
      <c r="CP64" s="216"/>
      <c r="CQ64" s="216"/>
      <c r="CR64" s="217"/>
      <c r="CY64" s="211"/>
      <c r="CZ64" s="212"/>
      <c r="DA64" s="212"/>
      <c r="DB64" s="212"/>
      <c r="DC64" s="212"/>
      <c r="DD64" s="212"/>
      <c r="DE64" s="212"/>
      <c r="DF64" s="212"/>
      <c r="DG64" s="212"/>
      <c r="DH64" s="212"/>
      <c r="DI64" s="212"/>
      <c r="DJ64" s="212"/>
      <c r="DK64" s="218"/>
      <c r="DL64" s="219"/>
      <c r="DM64" s="216"/>
      <c r="DN64" s="216"/>
      <c r="DO64" s="216"/>
      <c r="DP64" s="216"/>
      <c r="DQ64" s="216"/>
      <c r="DR64" s="216"/>
      <c r="DS64" s="216"/>
      <c r="DT64" s="216"/>
      <c r="DU64" s="216"/>
      <c r="DV64" s="216"/>
      <c r="DW64" s="216"/>
      <c r="DX64" s="217"/>
      <c r="EE64" s="211"/>
      <c r="EF64" s="212"/>
      <c r="EG64" s="212"/>
      <c r="EH64" s="212"/>
      <c r="EI64" s="212"/>
      <c r="EJ64" s="212"/>
      <c r="EK64" s="212"/>
      <c r="EL64" s="212"/>
      <c r="EM64" s="212"/>
      <c r="EN64" s="212"/>
      <c r="EO64" s="212"/>
      <c r="EP64" s="212"/>
      <c r="EQ64" s="218"/>
      <c r="ER64" s="219"/>
      <c r="ES64" s="216"/>
      <c r="ET64" s="216"/>
      <c r="EU64" s="216"/>
      <c r="EV64" s="216"/>
      <c r="EW64" s="216"/>
      <c r="EX64" s="216"/>
      <c r="EY64" s="216"/>
      <c r="EZ64" s="216"/>
      <c r="FA64" s="216"/>
      <c r="FB64" s="216"/>
      <c r="FC64" s="216"/>
      <c r="FD64" s="217"/>
    </row>
    <row r="65" spans="3:160" x14ac:dyDescent="0.25">
      <c r="G65" s="211"/>
      <c r="H65" s="212"/>
      <c r="I65" s="212"/>
      <c r="J65" s="212"/>
      <c r="K65" s="212"/>
      <c r="L65" s="212"/>
      <c r="M65" s="212"/>
      <c r="N65" s="212"/>
      <c r="O65" s="212"/>
      <c r="P65" s="212"/>
      <c r="Q65" s="212"/>
      <c r="R65" s="212"/>
      <c r="S65" s="218"/>
      <c r="T65" s="219"/>
      <c r="U65" s="216"/>
      <c r="V65" s="216"/>
      <c r="W65" s="216"/>
      <c r="X65" s="216"/>
      <c r="Y65" s="216"/>
      <c r="Z65" s="216"/>
      <c r="AA65" s="216"/>
      <c r="AB65" s="216"/>
      <c r="AC65" s="216"/>
      <c r="AD65" s="216"/>
      <c r="AE65" s="216"/>
      <c r="AF65" s="217"/>
      <c r="AM65" s="211"/>
      <c r="AN65" s="212"/>
      <c r="AO65" s="212"/>
      <c r="AP65" s="212"/>
      <c r="AQ65" s="212"/>
      <c r="AR65" s="212"/>
      <c r="AS65" s="212"/>
      <c r="AT65" s="212"/>
      <c r="AU65" s="212"/>
      <c r="AV65" s="212"/>
      <c r="AW65" s="212"/>
      <c r="AX65" s="212"/>
      <c r="AY65" s="218"/>
      <c r="AZ65" s="219"/>
      <c r="BA65" s="216"/>
      <c r="BB65" s="216"/>
      <c r="BC65" s="216"/>
      <c r="BD65" s="216"/>
      <c r="BE65" s="216"/>
      <c r="BF65" s="216"/>
      <c r="BG65" s="216"/>
      <c r="BH65" s="216"/>
      <c r="BI65" s="216"/>
      <c r="BJ65" s="216"/>
      <c r="BK65" s="216"/>
      <c r="BL65" s="217"/>
      <c r="BS65" s="211"/>
      <c r="BT65" s="212"/>
      <c r="BU65" s="212"/>
      <c r="BV65" s="212"/>
      <c r="BW65" s="212"/>
      <c r="BX65" s="212"/>
      <c r="BY65" s="212"/>
      <c r="BZ65" s="212"/>
      <c r="CA65" s="212"/>
      <c r="CB65" s="212"/>
      <c r="CC65" s="212"/>
      <c r="CD65" s="212"/>
      <c r="CE65" s="218"/>
      <c r="CF65" s="219"/>
      <c r="CG65" s="216"/>
      <c r="CH65" s="216"/>
      <c r="CI65" s="216"/>
      <c r="CJ65" s="216"/>
      <c r="CK65" s="216"/>
      <c r="CL65" s="216"/>
      <c r="CM65" s="216"/>
      <c r="CN65" s="216"/>
      <c r="CO65" s="216"/>
      <c r="CP65" s="216"/>
      <c r="CQ65" s="216"/>
      <c r="CR65" s="217"/>
      <c r="CY65" s="211"/>
      <c r="CZ65" s="212"/>
      <c r="DA65" s="212"/>
      <c r="DB65" s="212"/>
      <c r="DC65" s="212"/>
      <c r="DD65" s="212"/>
      <c r="DE65" s="212"/>
      <c r="DF65" s="212"/>
      <c r="DG65" s="212"/>
      <c r="DH65" s="212"/>
      <c r="DI65" s="212"/>
      <c r="DJ65" s="212"/>
      <c r="DK65" s="218"/>
      <c r="DL65" s="219"/>
      <c r="DM65" s="216"/>
      <c r="DN65" s="216"/>
      <c r="DO65" s="216"/>
      <c r="DP65" s="216"/>
      <c r="DQ65" s="216"/>
      <c r="DR65" s="216"/>
      <c r="DS65" s="216"/>
      <c r="DT65" s="216"/>
      <c r="DU65" s="216"/>
      <c r="DV65" s="216"/>
      <c r="DW65" s="216"/>
      <c r="DX65" s="217"/>
      <c r="EE65" s="211"/>
      <c r="EF65" s="212"/>
      <c r="EG65" s="212"/>
      <c r="EH65" s="212"/>
      <c r="EI65" s="212"/>
      <c r="EJ65" s="212"/>
      <c r="EK65" s="212"/>
      <c r="EL65" s="212"/>
      <c r="EM65" s="212"/>
      <c r="EN65" s="212"/>
      <c r="EO65" s="212"/>
      <c r="EP65" s="212"/>
      <c r="EQ65" s="218"/>
      <c r="ER65" s="219"/>
      <c r="ES65" s="216"/>
      <c r="ET65" s="216"/>
      <c r="EU65" s="216"/>
      <c r="EV65" s="216"/>
      <c r="EW65" s="216"/>
      <c r="EX65" s="216"/>
      <c r="EY65" s="216"/>
      <c r="EZ65" s="216"/>
      <c r="FA65" s="216"/>
      <c r="FB65" s="216"/>
      <c r="FC65" s="216"/>
      <c r="FD65" s="217"/>
    </row>
    <row r="66" spans="3:160" ht="15.75" thickBot="1" x14ac:dyDescent="0.3">
      <c r="C66" s="220"/>
      <c r="G66" s="211"/>
      <c r="H66" s="212"/>
      <c r="I66" s="212"/>
      <c r="J66" s="212"/>
      <c r="K66" s="212"/>
      <c r="L66" s="212"/>
      <c r="M66" s="212"/>
      <c r="N66" s="212"/>
      <c r="O66" s="212"/>
      <c r="P66" s="212"/>
      <c r="Q66" s="212"/>
      <c r="R66" s="212"/>
      <c r="S66" s="218"/>
      <c r="T66" s="219"/>
      <c r="U66" s="216"/>
      <c r="V66" s="216"/>
      <c r="W66" s="216"/>
      <c r="X66" s="216"/>
      <c r="Y66" s="216"/>
      <c r="Z66" s="216"/>
      <c r="AA66" s="216"/>
      <c r="AB66" s="216"/>
      <c r="AC66" s="216"/>
      <c r="AD66" s="216"/>
      <c r="AE66" s="216"/>
      <c r="AF66" s="217"/>
      <c r="AI66" s="220"/>
      <c r="AM66" s="211"/>
      <c r="AN66" s="212"/>
      <c r="AO66" s="212"/>
      <c r="AP66" s="212"/>
      <c r="AQ66" s="212"/>
      <c r="AR66" s="212"/>
      <c r="AS66" s="212"/>
      <c r="AT66" s="212"/>
      <c r="AU66" s="212"/>
      <c r="AV66" s="212"/>
      <c r="AW66" s="212"/>
      <c r="AX66" s="212"/>
      <c r="AY66" s="218"/>
      <c r="AZ66" s="219"/>
      <c r="BA66" s="216"/>
      <c r="BB66" s="216"/>
      <c r="BC66" s="216"/>
      <c r="BD66" s="216"/>
      <c r="BE66" s="216"/>
      <c r="BF66" s="216"/>
      <c r="BG66" s="216"/>
      <c r="BH66" s="216"/>
      <c r="BI66" s="216"/>
      <c r="BJ66" s="216"/>
      <c r="BK66" s="216"/>
      <c r="BL66" s="217"/>
      <c r="BO66" s="220"/>
      <c r="BS66" s="211"/>
      <c r="BT66" s="212"/>
      <c r="BU66" s="212"/>
      <c r="BV66" s="212"/>
      <c r="BW66" s="212"/>
      <c r="BX66" s="212"/>
      <c r="BY66" s="212"/>
      <c r="BZ66" s="212"/>
      <c r="CA66" s="212"/>
      <c r="CB66" s="212"/>
      <c r="CC66" s="212"/>
      <c r="CD66" s="212"/>
      <c r="CE66" s="218"/>
      <c r="CF66" s="219"/>
      <c r="CG66" s="216"/>
      <c r="CH66" s="216"/>
      <c r="CI66" s="216"/>
      <c r="CJ66" s="216"/>
      <c r="CK66" s="216"/>
      <c r="CL66" s="216"/>
      <c r="CM66" s="216"/>
      <c r="CN66" s="216"/>
      <c r="CO66" s="216"/>
      <c r="CP66" s="216"/>
      <c r="CQ66" s="216"/>
      <c r="CR66" s="217"/>
      <c r="CU66" s="220"/>
      <c r="CY66" s="211"/>
      <c r="CZ66" s="212"/>
      <c r="DA66" s="212"/>
      <c r="DB66" s="212"/>
      <c r="DC66" s="212"/>
      <c r="DD66" s="212"/>
      <c r="DE66" s="212"/>
      <c r="DF66" s="212"/>
      <c r="DG66" s="212"/>
      <c r="DH66" s="212"/>
      <c r="DI66" s="212"/>
      <c r="DJ66" s="212"/>
      <c r="DK66" s="218"/>
      <c r="DL66" s="219"/>
      <c r="DM66" s="216"/>
      <c r="DN66" s="216"/>
      <c r="DO66" s="216"/>
      <c r="DP66" s="216"/>
      <c r="DQ66" s="216"/>
      <c r="DR66" s="216"/>
      <c r="DS66" s="216"/>
      <c r="DT66" s="216"/>
      <c r="DU66" s="216"/>
      <c r="DV66" s="216"/>
      <c r="DW66" s="216"/>
      <c r="DX66" s="217"/>
      <c r="EA66" s="220"/>
      <c r="EE66" s="211"/>
      <c r="EF66" s="212"/>
      <c r="EG66" s="212"/>
      <c r="EH66" s="212"/>
      <c r="EI66" s="212"/>
      <c r="EJ66" s="212"/>
      <c r="EK66" s="212"/>
      <c r="EL66" s="212"/>
      <c r="EM66" s="212"/>
      <c r="EN66" s="212"/>
      <c r="EO66" s="212"/>
      <c r="EP66" s="212"/>
      <c r="EQ66" s="218"/>
      <c r="ER66" s="219"/>
      <c r="ES66" s="216"/>
      <c r="ET66" s="216"/>
      <c r="EU66" s="216"/>
      <c r="EV66" s="216"/>
      <c r="EW66" s="216"/>
      <c r="EX66" s="216"/>
      <c r="EY66" s="216"/>
      <c r="EZ66" s="216"/>
      <c r="FA66" s="216"/>
      <c r="FB66" s="216"/>
      <c r="FC66" s="216"/>
      <c r="FD66" s="217"/>
    </row>
    <row r="67" spans="3:160" ht="15.75" thickBot="1" x14ac:dyDescent="0.3">
      <c r="G67" s="211"/>
      <c r="H67" s="191" t="s">
        <v>32</v>
      </c>
      <c r="I67" s="192" t="s">
        <v>68</v>
      </c>
      <c r="J67" s="160" t="s">
        <v>69</v>
      </c>
      <c r="K67" s="212"/>
      <c r="L67" s="212"/>
      <c r="M67" s="212" t="str">
        <f>E29</f>
        <v>Modified Fen</v>
      </c>
      <c r="N67" s="221" t="str">
        <f>IF($J$45&lt;$J$33,J34,"N/a")</f>
        <v>N/a</v>
      </c>
      <c r="O67" s="212"/>
      <c r="P67" s="212"/>
      <c r="Q67" s="212"/>
      <c r="R67" s="212"/>
      <c r="S67" s="218"/>
      <c r="T67" s="219"/>
      <c r="U67" s="191" t="s">
        <v>32</v>
      </c>
      <c r="V67" s="192" t="s">
        <v>68</v>
      </c>
      <c r="W67" s="160" t="s">
        <v>69</v>
      </c>
      <c r="X67" s="216"/>
      <c r="Y67" s="216" t="str">
        <f>E29</f>
        <v>Modified Fen</v>
      </c>
      <c r="Z67" s="222" t="str">
        <f>IF($E$16="","N/a",IF($J$45&lt;$J$33,W34,"N/a"))</f>
        <v>N/a</v>
      </c>
      <c r="AA67" s="216"/>
      <c r="AB67" s="216"/>
      <c r="AC67" s="216"/>
      <c r="AD67" s="216"/>
      <c r="AE67" s="216"/>
      <c r="AF67" s="217"/>
      <c r="AM67" s="211"/>
      <c r="AN67" s="191" t="s">
        <v>32</v>
      </c>
      <c r="AO67" s="192" t="s">
        <v>68</v>
      </c>
      <c r="AP67" s="160" t="s">
        <v>69</v>
      </c>
      <c r="AQ67" s="212"/>
      <c r="AR67" s="212"/>
      <c r="AS67" s="212" t="str">
        <f>AK29</f>
        <v>Cropland</v>
      </c>
      <c r="AT67" s="221">
        <f>IF(AP45&lt;AP33,AP34,"N/a")</f>
        <v>6.7794571428571437</v>
      </c>
      <c r="AU67" s="212"/>
      <c r="AV67" s="212"/>
      <c r="AW67" s="212"/>
      <c r="AX67" s="212"/>
      <c r="AY67" s="218"/>
      <c r="AZ67" s="219"/>
      <c r="BA67" s="191" t="s">
        <v>32</v>
      </c>
      <c r="BB67" s="192" t="s">
        <v>68</v>
      </c>
      <c r="BC67" s="160" t="s">
        <v>69</v>
      </c>
      <c r="BD67" s="216"/>
      <c r="BE67" s="216" t="str">
        <f>AK29</f>
        <v>Cropland</v>
      </c>
      <c r="BF67" s="222">
        <f>IF(AK21="","N/a",IF(AP45&lt;AP33,BC34,"N/a"))</f>
        <v>67.79457142857143</v>
      </c>
      <c r="BG67" s="216"/>
      <c r="BH67" s="216"/>
      <c r="BI67" s="216"/>
      <c r="BJ67" s="216"/>
      <c r="BK67" s="216"/>
      <c r="BL67" s="217"/>
      <c r="BS67" s="211"/>
      <c r="BT67" s="191" t="s">
        <v>32</v>
      </c>
      <c r="BU67" s="192" t="s">
        <v>68</v>
      </c>
      <c r="BV67" s="160" t="s">
        <v>69</v>
      </c>
      <c r="BW67" s="212"/>
      <c r="BX67" s="212"/>
      <c r="BY67" s="212">
        <f>BQ29</f>
        <v>0</v>
      </c>
      <c r="BZ67" s="221" t="str">
        <f>IF(BV45&lt;BV33,BV34,"N/a")</f>
        <v>N/a</v>
      </c>
      <c r="CA67" s="212"/>
      <c r="CB67" s="212"/>
      <c r="CC67" s="212"/>
      <c r="CD67" s="212"/>
      <c r="CE67" s="218"/>
      <c r="CF67" s="219"/>
      <c r="CG67" s="191" t="s">
        <v>32</v>
      </c>
      <c r="CH67" s="192" t="s">
        <v>68</v>
      </c>
      <c r="CI67" s="160" t="s">
        <v>69</v>
      </c>
      <c r="CJ67" s="216"/>
      <c r="CK67" s="216">
        <f>BQ29</f>
        <v>0</v>
      </c>
      <c r="CL67" s="222" t="str">
        <f>IF(BQ21="","N/a",IF(BV45&lt;BV33,CI34,"N/a"))</f>
        <v>N/a</v>
      </c>
      <c r="CM67" s="216"/>
      <c r="CN67" s="216"/>
      <c r="CO67" s="216"/>
      <c r="CP67" s="216"/>
      <c r="CQ67" s="216"/>
      <c r="CR67" s="217"/>
      <c r="CY67" s="211"/>
      <c r="CZ67" s="191" t="s">
        <v>32</v>
      </c>
      <c r="DA67" s="192" t="s">
        <v>68</v>
      </c>
      <c r="DB67" s="160" t="s">
        <v>69</v>
      </c>
      <c r="DC67" s="212"/>
      <c r="DD67" s="212"/>
      <c r="DE67" s="212">
        <f>CW29</f>
        <v>0</v>
      </c>
      <c r="DF67" s="221" t="str">
        <f>IF(DB45&lt;DB33,DB34,"N/a")</f>
        <v>N/a</v>
      </c>
      <c r="DG67" s="212"/>
      <c r="DH67" s="212"/>
      <c r="DI67" s="212"/>
      <c r="DJ67" s="212"/>
      <c r="DK67" s="218"/>
      <c r="DL67" s="219"/>
      <c r="DM67" s="191" t="s">
        <v>32</v>
      </c>
      <c r="DN67" s="192" t="s">
        <v>68</v>
      </c>
      <c r="DO67" s="160" t="s">
        <v>69</v>
      </c>
      <c r="DP67" s="216"/>
      <c r="DQ67" s="216">
        <f>CW29</f>
        <v>0</v>
      </c>
      <c r="DR67" s="222" t="str">
        <f>IF(CW21="","N/a",IF(DB45&lt;DB33,DO34,"N/a"))</f>
        <v>N/a</v>
      </c>
      <c r="DS67" s="216"/>
      <c r="DT67" s="216"/>
      <c r="DU67" s="216"/>
      <c r="DV67" s="216"/>
      <c r="DW67" s="216"/>
      <c r="DX67" s="217"/>
      <c r="EE67" s="211"/>
      <c r="EF67" s="191" t="s">
        <v>32</v>
      </c>
      <c r="EG67" s="192" t="s">
        <v>68</v>
      </c>
      <c r="EH67" s="160" t="s">
        <v>69</v>
      </c>
      <c r="EI67" s="212"/>
      <c r="EJ67" s="212"/>
      <c r="EK67" s="212">
        <f>EC29</f>
        <v>0</v>
      </c>
      <c r="EL67" s="221" t="str">
        <f>IF(EH45&lt;EH33,EH34,"N/a")</f>
        <v>N/a</v>
      </c>
      <c r="EM67" s="212"/>
      <c r="EN67" s="212"/>
      <c r="EO67" s="212"/>
      <c r="EP67" s="212"/>
      <c r="EQ67" s="218"/>
      <c r="ER67" s="219"/>
      <c r="ES67" s="191" t="s">
        <v>32</v>
      </c>
      <c r="ET67" s="192" t="s">
        <v>68</v>
      </c>
      <c r="EU67" s="160" t="s">
        <v>69</v>
      </c>
      <c r="EV67" s="216"/>
      <c r="EW67" s="216">
        <f>EC29</f>
        <v>0</v>
      </c>
      <c r="EX67" s="222" t="str">
        <f>IF(EC21="","N/a",IF(EH45&lt;EH33,EU34,"N/a"))</f>
        <v>N/a</v>
      </c>
      <c r="EY67" s="216"/>
      <c r="EZ67" s="216"/>
      <c r="FA67" s="216"/>
      <c r="FB67" s="216"/>
      <c r="FC67" s="216"/>
      <c r="FD67" s="217"/>
    </row>
    <row r="68" spans="3:160" x14ac:dyDescent="0.25">
      <c r="G68" s="211"/>
      <c r="H68" s="212"/>
      <c r="I68" s="223" t="s">
        <v>70</v>
      </c>
      <c r="J68" s="155" t="str">
        <f>IF($J$45&lt;$J$33,'Transition Period Calculations'!D14,"N/a")</f>
        <v>N/a</v>
      </c>
      <c r="K68" s="212"/>
      <c r="L68" s="212"/>
      <c r="M68" s="212"/>
      <c r="N68" s="212"/>
      <c r="O68" s="212"/>
      <c r="P68" s="212"/>
      <c r="Q68" s="212"/>
      <c r="R68" s="212"/>
      <c r="S68" s="218"/>
      <c r="T68" s="219"/>
      <c r="U68" s="216"/>
      <c r="V68" s="223" t="s">
        <v>70</v>
      </c>
      <c r="W68" s="224" t="str">
        <f>IF($E$16="","N/a",IF($J$45&lt;$J$33,'Transition Period Calculations'!E14,"N/a"))</f>
        <v>N/a</v>
      </c>
      <c r="X68" s="216"/>
      <c r="Y68" s="216"/>
      <c r="Z68" s="216"/>
      <c r="AA68" s="216"/>
      <c r="AB68" s="216"/>
      <c r="AC68" s="216"/>
      <c r="AD68" s="216"/>
      <c r="AE68" s="216"/>
      <c r="AF68" s="217"/>
      <c r="AM68" s="211"/>
      <c r="AN68" s="212"/>
      <c r="AO68" s="223" t="s">
        <v>70</v>
      </c>
      <c r="AP68" s="155">
        <f>IF(AP45&lt;AP33,'Transition Period Calculations'!H14,"N/a")</f>
        <v>5.6495476190476195</v>
      </c>
      <c r="AQ68" s="212"/>
      <c r="AR68" s="212"/>
      <c r="AS68" s="212"/>
      <c r="AT68" s="212"/>
      <c r="AU68" s="212"/>
      <c r="AV68" s="212"/>
      <c r="AW68" s="212"/>
      <c r="AX68" s="212"/>
      <c r="AY68" s="218"/>
      <c r="AZ68" s="219"/>
      <c r="BA68" s="216"/>
      <c r="BB68" s="223" t="s">
        <v>70</v>
      </c>
      <c r="BC68" s="224">
        <f>IF(AK21="","N/a",IF(AP45&lt;AP33,'Transition Period Calculations'!I14,"N/a"))</f>
        <v>56.495476190476197</v>
      </c>
      <c r="BD68" s="216"/>
      <c r="BE68" s="216"/>
      <c r="BF68" s="216"/>
      <c r="BG68" s="216"/>
      <c r="BH68" s="216"/>
      <c r="BI68" s="216"/>
      <c r="BJ68" s="216"/>
      <c r="BK68" s="216"/>
      <c r="BL68" s="217"/>
      <c r="BS68" s="211"/>
      <c r="BT68" s="212"/>
      <c r="BU68" s="223" t="s">
        <v>70</v>
      </c>
      <c r="BV68" s="155" t="str">
        <f>IF(BV45&lt;BV33,'Transition Period Calculations'!L14,"N/a")</f>
        <v>N/a</v>
      </c>
      <c r="BW68" s="212"/>
      <c r="BX68" s="212"/>
      <c r="BY68" s="212"/>
      <c r="BZ68" s="212"/>
      <c r="CA68" s="212"/>
      <c r="CB68" s="212"/>
      <c r="CC68" s="212"/>
      <c r="CD68" s="212"/>
      <c r="CE68" s="218"/>
      <c r="CF68" s="219"/>
      <c r="CG68" s="216"/>
      <c r="CH68" s="223" t="s">
        <v>70</v>
      </c>
      <c r="CI68" s="224" t="str">
        <f>IF(BQ21="","N/a",IF(BV45&lt;BV33,'Transition Period Calculations'!M14,"N/a"))</f>
        <v>N/a</v>
      </c>
      <c r="CJ68" s="216"/>
      <c r="CK68" s="216"/>
      <c r="CL68" s="216"/>
      <c r="CM68" s="216"/>
      <c r="CN68" s="216"/>
      <c r="CO68" s="216"/>
      <c r="CP68" s="216"/>
      <c r="CQ68" s="216"/>
      <c r="CR68" s="217"/>
      <c r="CY68" s="211"/>
      <c r="CZ68" s="212"/>
      <c r="DA68" s="223" t="s">
        <v>70</v>
      </c>
      <c r="DB68" s="155" t="str">
        <f>IF(DB45&lt;DB33,'Transition Period Calculations'!P14,"N/a")</f>
        <v>N/a</v>
      </c>
      <c r="DC68" s="212"/>
      <c r="DD68" s="212"/>
      <c r="DE68" s="212"/>
      <c r="DF68" s="212"/>
      <c r="DG68" s="212"/>
      <c r="DH68" s="212"/>
      <c r="DI68" s="212"/>
      <c r="DJ68" s="212"/>
      <c r="DK68" s="218"/>
      <c r="DL68" s="219"/>
      <c r="DM68" s="216"/>
      <c r="DN68" s="223" t="s">
        <v>70</v>
      </c>
      <c r="DO68" s="224" t="str">
        <f>IF(CW21="","N/a",IF(DB45&lt;DB33,'Transition Period Calculations'!Q14,"N/a"))</f>
        <v>N/a</v>
      </c>
      <c r="DP68" s="216"/>
      <c r="DQ68" s="216"/>
      <c r="DR68" s="216"/>
      <c r="DS68" s="216"/>
      <c r="DT68" s="216"/>
      <c r="DU68" s="216"/>
      <c r="DV68" s="216"/>
      <c r="DW68" s="216"/>
      <c r="DX68" s="217"/>
      <c r="EE68" s="211"/>
      <c r="EF68" s="212"/>
      <c r="EG68" s="223" t="s">
        <v>70</v>
      </c>
      <c r="EH68" s="155" t="str">
        <f>IF(EH45&lt;EH33,'Transition Period Calculations'!T14,"N/a")</f>
        <v>N/a</v>
      </c>
      <c r="EI68" s="212"/>
      <c r="EJ68" s="212"/>
      <c r="EK68" s="212"/>
      <c r="EL68" s="212"/>
      <c r="EM68" s="212"/>
      <c r="EN68" s="212"/>
      <c r="EO68" s="212"/>
      <c r="EP68" s="212"/>
      <c r="EQ68" s="218"/>
      <c r="ER68" s="219"/>
      <c r="ES68" s="216"/>
      <c r="ET68" s="223" t="s">
        <v>70</v>
      </c>
      <c r="EU68" s="224" t="str">
        <f>IF(EC21="","N/a",IF(EH45&lt;EH33,'Transition Period Calculations'!U14,"N/a"))</f>
        <v>N/a</v>
      </c>
      <c r="EV68" s="216"/>
      <c r="EW68" s="216"/>
      <c r="EX68" s="216"/>
      <c r="EY68" s="216"/>
      <c r="EZ68" s="216"/>
      <c r="FA68" s="216"/>
      <c r="FB68" s="216"/>
      <c r="FC68" s="216"/>
      <c r="FD68" s="217"/>
    </row>
    <row r="69" spans="3:160" x14ac:dyDescent="0.25">
      <c r="G69" s="211"/>
      <c r="H69" s="212"/>
      <c r="I69" s="154" t="s">
        <v>71</v>
      </c>
      <c r="J69" s="155" t="str">
        <f>IF($J$45&lt;$J$33,'Transition Period Calculations'!D15,"N/a")</f>
        <v>N/a</v>
      </c>
      <c r="K69" s="212"/>
      <c r="L69" s="212"/>
      <c r="M69" s="212"/>
      <c r="N69" s="212"/>
      <c r="O69" s="212"/>
      <c r="P69" s="212"/>
      <c r="Q69" s="212"/>
      <c r="R69" s="212"/>
      <c r="S69" s="218"/>
      <c r="T69" s="219"/>
      <c r="U69" s="216"/>
      <c r="V69" s="154" t="s">
        <v>71</v>
      </c>
      <c r="W69" s="155" t="str">
        <f>IF($E$16="","N/a",IF($J$45&lt;$J$33,'Transition Period Calculations'!E15,"N/a"))</f>
        <v>N/a</v>
      </c>
      <c r="X69" s="216"/>
      <c r="Y69" s="216"/>
      <c r="Z69" s="216"/>
      <c r="AA69" s="216"/>
      <c r="AB69" s="216"/>
      <c r="AC69" s="216"/>
      <c r="AD69" s="216"/>
      <c r="AE69" s="216"/>
      <c r="AF69" s="217"/>
      <c r="AM69" s="211"/>
      <c r="AN69" s="212"/>
      <c r="AO69" s="154" t="s">
        <v>71</v>
      </c>
      <c r="AP69" s="155">
        <f>IF(AP45&lt;AP33,'Transition Period Calculations'!H15,"N/a")</f>
        <v>4.5196380952380952</v>
      </c>
      <c r="AQ69" s="212"/>
      <c r="AR69" s="212"/>
      <c r="AS69" s="212"/>
      <c r="AT69" s="212"/>
      <c r="AU69" s="212"/>
      <c r="AV69" s="212"/>
      <c r="AW69" s="212"/>
      <c r="AX69" s="212"/>
      <c r="AY69" s="218"/>
      <c r="AZ69" s="219"/>
      <c r="BA69" s="216"/>
      <c r="BB69" s="154" t="s">
        <v>71</v>
      </c>
      <c r="BC69" s="155">
        <f>IF(AK21="","N/a",IF(AP45&lt;AP33,'Transition Period Calculations'!I15,"N/a"))</f>
        <v>45.196380952380949</v>
      </c>
      <c r="BD69" s="216"/>
      <c r="BE69" s="216"/>
      <c r="BF69" s="216"/>
      <c r="BG69" s="216"/>
      <c r="BH69" s="216"/>
      <c r="BI69" s="216"/>
      <c r="BJ69" s="216"/>
      <c r="BK69" s="216"/>
      <c r="BL69" s="217"/>
      <c r="BS69" s="211"/>
      <c r="BT69" s="212"/>
      <c r="BU69" s="154" t="s">
        <v>71</v>
      </c>
      <c r="BV69" s="155" t="str">
        <f>IF(BV45&lt;BV33,'Transition Period Calculations'!L15,"N/a")</f>
        <v>N/a</v>
      </c>
      <c r="BW69" s="212"/>
      <c r="BX69" s="212"/>
      <c r="BY69" s="212"/>
      <c r="BZ69" s="212"/>
      <c r="CA69" s="212"/>
      <c r="CB69" s="212"/>
      <c r="CC69" s="212"/>
      <c r="CD69" s="212"/>
      <c r="CE69" s="218"/>
      <c r="CF69" s="219"/>
      <c r="CG69" s="216"/>
      <c r="CH69" s="154" t="s">
        <v>71</v>
      </c>
      <c r="CI69" s="155" t="str">
        <f>IF(BQ21="","N/a",IF(BV45&lt;BV33,'Transition Period Calculations'!M15,"N/a"))</f>
        <v>N/a</v>
      </c>
      <c r="CJ69" s="216"/>
      <c r="CK69" s="216"/>
      <c r="CL69" s="216"/>
      <c r="CM69" s="216"/>
      <c r="CN69" s="216"/>
      <c r="CO69" s="216"/>
      <c r="CP69" s="216"/>
      <c r="CQ69" s="216"/>
      <c r="CR69" s="217"/>
      <c r="CY69" s="211"/>
      <c r="CZ69" s="212"/>
      <c r="DA69" s="154" t="s">
        <v>71</v>
      </c>
      <c r="DB69" s="155" t="str">
        <f>IF(DB45&lt;DB33,'Transition Period Calculations'!P15,"N/a")</f>
        <v>N/a</v>
      </c>
      <c r="DC69" s="212"/>
      <c r="DD69" s="212"/>
      <c r="DE69" s="212"/>
      <c r="DF69" s="212"/>
      <c r="DG69" s="212"/>
      <c r="DH69" s="212"/>
      <c r="DI69" s="212"/>
      <c r="DJ69" s="212"/>
      <c r="DK69" s="218"/>
      <c r="DL69" s="219"/>
      <c r="DM69" s="216"/>
      <c r="DN69" s="154" t="s">
        <v>71</v>
      </c>
      <c r="DO69" s="155" t="str">
        <f>IF(CW21="","N/a",IF(DB45&lt;DB33,'Transition Period Calculations'!Q15,"N/a"))</f>
        <v>N/a</v>
      </c>
      <c r="DP69" s="216"/>
      <c r="DQ69" s="216"/>
      <c r="DR69" s="216"/>
      <c r="DS69" s="216"/>
      <c r="DT69" s="216"/>
      <c r="DU69" s="216"/>
      <c r="DV69" s="216"/>
      <c r="DW69" s="216"/>
      <c r="DX69" s="217"/>
      <c r="EE69" s="211"/>
      <c r="EF69" s="212"/>
      <c r="EG69" s="154" t="s">
        <v>71</v>
      </c>
      <c r="EH69" s="155" t="str">
        <f>IF(EH45&lt;EH33,'Transition Period Calculations'!T15,"N/a")</f>
        <v>N/a</v>
      </c>
      <c r="EI69" s="212"/>
      <c r="EJ69" s="212"/>
      <c r="EK69" s="212"/>
      <c r="EL69" s="212"/>
      <c r="EM69" s="212"/>
      <c r="EN69" s="212"/>
      <c r="EO69" s="212"/>
      <c r="EP69" s="212"/>
      <c r="EQ69" s="218"/>
      <c r="ER69" s="219"/>
      <c r="ES69" s="216"/>
      <c r="ET69" s="154" t="s">
        <v>71</v>
      </c>
      <c r="EU69" s="155" t="str">
        <f>IF(EC21="","N/a",IF(EH45&lt;EH33,'Transition Period Calculations'!U15,"N/a"))</f>
        <v>N/a</v>
      </c>
      <c r="EV69" s="216"/>
      <c r="EW69" s="216"/>
      <c r="EX69" s="216"/>
      <c r="EY69" s="216"/>
      <c r="EZ69" s="216"/>
      <c r="FA69" s="216"/>
      <c r="FB69" s="216"/>
      <c r="FC69" s="216"/>
      <c r="FD69" s="217"/>
    </row>
    <row r="70" spans="3:160" x14ac:dyDescent="0.25">
      <c r="G70" s="211"/>
      <c r="H70" s="212"/>
      <c r="I70" s="154" t="s">
        <v>72</v>
      </c>
      <c r="J70" s="155" t="str">
        <f>IF($J$45&lt;$J$33,'Transition Period Calculations'!D16,"N/a")</f>
        <v>N/a</v>
      </c>
      <c r="K70" s="212"/>
      <c r="L70" s="212"/>
      <c r="M70" s="212"/>
      <c r="N70" s="212"/>
      <c r="O70" s="212"/>
      <c r="P70" s="212"/>
      <c r="Q70" s="212"/>
      <c r="R70" s="212"/>
      <c r="S70" s="218"/>
      <c r="T70" s="219"/>
      <c r="U70" s="216"/>
      <c r="V70" s="154" t="s">
        <v>72</v>
      </c>
      <c r="W70" s="155" t="str">
        <f>IF($E$16="","N/a",IF($J$45&lt;$J$33,'Transition Period Calculations'!E16,"N/a"))</f>
        <v>N/a</v>
      </c>
      <c r="X70" s="216"/>
      <c r="Y70" s="216"/>
      <c r="Z70" s="216"/>
      <c r="AA70" s="216"/>
      <c r="AB70" s="216"/>
      <c r="AC70" s="216"/>
      <c r="AD70" s="216"/>
      <c r="AE70" s="216"/>
      <c r="AF70" s="217"/>
      <c r="AM70" s="211"/>
      <c r="AN70" s="212"/>
      <c r="AO70" s="154" t="s">
        <v>72</v>
      </c>
      <c r="AP70" s="155">
        <f>IF(AP45&lt;AP33,'Transition Period Calculations'!H16,"N/a")</f>
        <v>3.389728571428571</v>
      </c>
      <c r="AQ70" s="212"/>
      <c r="AR70" s="212"/>
      <c r="AS70" s="212"/>
      <c r="AT70" s="212"/>
      <c r="AU70" s="212"/>
      <c r="AV70" s="212"/>
      <c r="AW70" s="212"/>
      <c r="AX70" s="212"/>
      <c r="AY70" s="218"/>
      <c r="AZ70" s="219"/>
      <c r="BA70" s="216"/>
      <c r="BB70" s="154" t="s">
        <v>72</v>
      </c>
      <c r="BC70" s="155">
        <f>IF(AK21="","N/a",IF(AP45&lt;AP33,'Transition Period Calculations'!I16,"N/a"))</f>
        <v>33.897285714285708</v>
      </c>
      <c r="BD70" s="216"/>
      <c r="BE70" s="216"/>
      <c r="BF70" s="216"/>
      <c r="BG70" s="216"/>
      <c r="BH70" s="216"/>
      <c r="BI70" s="216"/>
      <c r="BJ70" s="216"/>
      <c r="BK70" s="216"/>
      <c r="BL70" s="217"/>
      <c r="BS70" s="211"/>
      <c r="BT70" s="212"/>
      <c r="BU70" s="154" t="s">
        <v>72</v>
      </c>
      <c r="BV70" s="155" t="str">
        <f>IF(BV45&lt;BV33,'Transition Period Calculations'!L16,"N/a")</f>
        <v>N/a</v>
      </c>
      <c r="BW70" s="212"/>
      <c r="BX70" s="212"/>
      <c r="BY70" s="212"/>
      <c r="BZ70" s="212"/>
      <c r="CA70" s="212"/>
      <c r="CB70" s="212"/>
      <c r="CC70" s="212"/>
      <c r="CD70" s="212"/>
      <c r="CE70" s="218"/>
      <c r="CF70" s="219"/>
      <c r="CG70" s="216"/>
      <c r="CH70" s="154" t="s">
        <v>72</v>
      </c>
      <c r="CI70" s="155" t="str">
        <f>IF(BQ21="","N/a",IF(BV45&lt;BV33,'Transition Period Calculations'!M16,"N/a"))</f>
        <v>N/a</v>
      </c>
      <c r="CJ70" s="216"/>
      <c r="CK70" s="216"/>
      <c r="CL70" s="216"/>
      <c r="CM70" s="216"/>
      <c r="CN70" s="216"/>
      <c r="CO70" s="216"/>
      <c r="CP70" s="216"/>
      <c r="CQ70" s="216"/>
      <c r="CR70" s="217"/>
      <c r="CY70" s="211"/>
      <c r="CZ70" s="212"/>
      <c r="DA70" s="154" t="s">
        <v>72</v>
      </c>
      <c r="DB70" s="155" t="str">
        <f>IF(DB45&lt;DB33,'Transition Period Calculations'!P16,"N/a")</f>
        <v>N/a</v>
      </c>
      <c r="DC70" s="212"/>
      <c r="DD70" s="212"/>
      <c r="DE70" s="212"/>
      <c r="DF70" s="212"/>
      <c r="DG70" s="212"/>
      <c r="DH70" s="212"/>
      <c r="DI70" s="212"/>
      <c r="DJ70" s="212"/>
      <c r="DK70" s="218"/>
      <c r="DL70" s="219"/>
      <c r="DM70" s="216"/>
      <c r="DN70" s="154" t="s">
        <v>72</v>
      </c>
      <c r="DO70" s="155" t="str">
        <f>IF(CW21="","N/a",IF(DB45&lt;DB33,'Transition Period Calculations'!Q16,"N/a"))</f>
        <v>N/a</v>
      </c>
      <c r="DP70" s="216"/>
      <c r="DQ70" s="216"/>
      <c r="DR70" s="216"/>
      <c r="DS70" s="216"/>
      <c r="DT70" s="216"/>
      <c r="DU70" s="216"/>
      <c r="DV70" s="216"/>
      <c r="DW70" s="216"/>
      <c r="DX70" s="217"/>
      <c r="EE70" s="211"/>
      <c r="EF70" s="212"/>
      <c r="EG70" s="154" t="s">
        <v>72</v>
      </c>
      <c r="EH70" s="155" t="str">
        <f>IF(EH45&lt;EH33,'Transition Period Calculations'!T16,"N/a")</f>
        <v>N/a</v>
      </c>
      <c r="EI70" s="212"/>
      <c r="EJ70" s="212"/>
      <c r="EK70" s="212"/>
      <c r="EL70" s="212"/>
      <c r="EM70" s="212"/>
      <c r="EN70" s="212"/>
      <c r="EO70" s="212"/>
      <c r="EP70" s="212"/>
      <c r="EQ70" s="218"/>
      <c r="ER70" s="219"/>
      <c r="ES70" s="216"/>
      <c r="ET70" s="154" t="s">
        <v>72</v>
      </c>
      <c r="EU70" s="155" t="str">
        <f>IF(EC21="","N/a",IF(EH45&lt;EH33,'Transition Period Calculations'!U16,"N/a"))</f>
        <v>N/a</v>
      </c>
      <c r="EV70" s="216"/>
      <c r="EW70" s="216"/>
      <c r="EX70" s="216"/>
      <c r="EY70" s="216"/>
      <c r="EZ70" s="216"/>
      <c r="FA70" s="216"/>
      <c r="FB70" s="216"/>
      <c r="FC70" s="216"/>
      <c r="FD70" s="217"/>
    </row>
    <row r="71" spans="3:160" x14ac:dyDescent="0.25">
      <c r="G71" s="211"/>
      <c r="H71" s="212"/>
      <c r="I71" s="154" t="s">
        <v>73</v>
      </c>
      <c r="J71" s="155" t="str">
        <f>IF($J$45&lt;$J$33,'Transition Period Calculations'!D17,"N/a")</f>
        <v>N/a</v>
      </c>
      <c r="K71" s="212"/>
      <c r="L71" s="212"/>
      <c r="M71" s="212"/>
      <c r="N71" s="212"/>
      <c r="O71" s="212"/>
      <c r="P71" s="212"/>
      <c r="Q71" s="212"/>
      <c r="R71" s="212"/>
      <c r="S71" s="218"/>
      <c r="T71" s="219"/>
      <c r="U71" s="216"/>
      <c r="V71" s="154" t="s">
        <v>73</v>
      </c>
      <c r="W71" s="155" t="str">
        <f>IF($E$16="","N/a",IF($J$45&lt;$J$33,'Transition Period Calculations'!E17,"N/a"))</f>
        <v>N/a</v>
      </c>
      <c r="X71" s="216"/>
      <c r="Y71" s="216"/>
      <c r="Z71" s="216"/>
      <c r="AA71" s="216"/>
      <c r="AB71" s="216"/>
      <c r="AC71" s="216"/>
      <c r="AD71" s="216"/>
      <c r="AE71" s="216"/>
      <c r="AF71" s="217"/>
      <c r="AM71" s="211"/>
      <c r="AN71" s="212"/>
      <c r="AO71" s="154" t="s">
        <v>73</v>
      </c>
      <c r="AP71" s="155">
        <f>IF(AP45&lt;AP33,'Transition Period Calculations'!H17,"N/a")</f>
        <v>2.2598190476190467</v>
      </c>
      <c r="AQ71" s="212"/>
      <c r="AR71" s="212"/>
      <c r="AS71" s="212"/>
      <c r="AT71" s="212"/>
      <c r="AU71" s="212"/>
      <c r="AV71" s="212"/>
      <c r="AW71" s="212"/>
      <c r="AX71" s="212"/>
      <c r="AY71" s="218"/>
      <c r="AZ71" s="219"/>
      <c r="BA71" s="216"/>
      <c r="BB71" s="154" t="s">
        <v>73</v>
      </c>
      <c r="BC71" s="155">
        <f>IF(AK21="","N/a",IF(AP45&lt;AP33,'Transition Period Calculations'!I17,"N/a"))</f>
        <v>22.598190476190467</v>
      </c>
      <c r="BD71" s="216"/>
      <c r="BE71" s="216"/>
      <c r="BF71" s="216"/>
      <c r="BG71" s="216"/>
      <c r="BH71" s="216"/>
      <c r="BI71" s="216"/>
      <c r="BJ71" s="216"/>
      <c r="BK71" s="216"/>
      <c r="BL71" s="217"/>
      <c r="BS71" s="211"/>
      <c r="BT71" s="212"/>
      <c r="BU71" s="154" t="s">
        <v>73</v>
      </c>
      <c r="BV71" s="155" t="str">
        <f>IF(BV45&lt;BV33,'Transition Period Calculations'!L17,"N/a")</f>
        <v>N/a</v>
      </c>
      <c r="BW71" s="212"/>
      <c r="BX71" s="212"/>
      <c r="BY71" s="212"/>
      <c r="BZ71" s="212"/>
      <c r="CA71" s="212"/>
      <c r="CB71" s="212"/>
      <c r="CC71" s="212"/>
      <c r="CD71" s="212"/>
      <c r="CE71" s="218"/>
      <c r="CF71" s="219"/>
      <c r="CG71" s="216"/>
      <c r="CH71" s="154" t="s">
        <v>73</v>
      </c>
      <c r="CI71" s="155" t="str">
        <f>IF(BQ21="","N/a",IF(BV45&lt;BV33,'Transition Period Calculations'!M17,"N/a"))</f>
        <v>N/a</v>
      </c>
      <c r="CJ71" s="216"/>
      <c r="CK71" s="216"/>
      <c r="CL71" s="216"/>
      <c r="CM71" s="216"/>
      <c r="CN71" s="216"/>
      <c r="CO71" s="216"/>
      <c r="CP71" s="216"/>
      <c r="CQ71" s="216"/>
      <c r="CR71" s="217"/>
      <c r="CY71" s="211"/>
      <c r="CZ71" s="212"/>
      <c r="DA71" s="154" t="s">
        <v>73</v>
      </c>
      <c r="DB71" s="155" t="str">
        <f>IF(DB45&lt;DB33,'Transition Period Calculations'!P17,"N/a")</f>
        <v>N/a</v>
      </c>
      <c r="DC71" s="212"/>
      <c r="DD71" s="212"/>
      <c r="DE71" s="212"/>
      <c r="DF71" s="212"/>
      <c r="DG71" s="212"/>
      <c r="DH71" s="212"/>
      <c r="DI71" s="212"/>
      <c r="DJ71" s="212"/>
      <c r="DK71" s="218"/>
      <c r="DL71" s="219"/>
      <c r="DM71" s="216"/>
      <c r="DN71" s="154" t="s">
        <v>73</v>
      </c>
      <c r="DO71" s="155" t="str">
        <f>IF(CW21="","N/a",IF(DB45&lt;DB33,'Transition Period Calculations'!Q17,"N/a"))</f>
        <v>N/a</v>
      </c>
      <c r="DP71" s="216"/>
      <c r="DQ71" s="216"/>
      <c r="DR71" s="216"/>
      <c r="DS71" s="216"/>
      <c r="DT71" s="216"/>
      <c r="DU71" s="216"/>
      <c r="DV71" s="216"/>
      <c r="DW71" s="216"/>
      <c r="DX71" s="217"/>
      <c r="EE71" s="211"/>
      <c r="EF71" s="212"/>
      <c r="EG71" s="154" t="s">
        <v>73</v>
      </c>
      <c r="EH71" s="155" t="str">
        <f>IF(EH45&lt;EH33,'Transition Period Calculations'!T17,"N/a")</f>
        <v>N/a</v>
      </c>
      <c r="EI71" s="212"/>
      <c r="EJ71" s="212"/>
      <c r="EK71" s="212"/>
      <c r="EL71" s="212"/>
      <c r="EM71" s="212"/>
      <c r="EN71" s="212"/>
      <c r="EO71" s="212"/>
      <c r="EP71" s="212"/>
      <c r="EQ71" s="218"/>
      <c r="ER71" s="219"/>
      <c r="ES71" s="216"/>
      <c r="ET71" s="154" t="s">
        <v>73</v>
      </c>
      <c r="EU71" s="155" t="str">
        <f>IF(EC21="","N/a",IF(EH45&lt;EH33,'Transition Period Calculations'!U17,"N/a"))</f>
        <v>N/a</v>
      </c>
      <c r="EV71" s="216"/>
      <c r="EW71" s="216"/>
      <c r="EX71" s="216"/>
      <c r="EY71" s="216"/>
      <c r="EZ71" s="216"/>
      <c r="FA71" s="216"/>
      <c r="FB71" s="216"/>
      <c r="FC71" s="216"/>
      <c r="FD71" s="217"/>
    </row>
    <row r="72" spans="3:160" ht="21.75" thickBot="1" x14ac:dyDescent="0.4">
      <c r="G72" s="211"/>
      <c r="H72" s="212"/>
      <c r="I72" s="225" t="s">
        <v>74</v>
      </c>
      <c r="J72" s="226" t="str">
        <f>IF($J$45&lt;$J$33,'Transition Period Calculations'!D18,"N/a")</f>
        <v>N/a</v>
      </c>
      <c r="K72" s="213" t="s">
        <v>75</v>
      </c>
      <c r="L72" s="212"/>
      <c r="M72" s="212"/>
      <c r="N72" s="212"/>
      <c r="O72" s="212"/>
      <c r="P72" s="212"/>
      <c r="Q72" s="212"/>
      <c r="R72" s="212"/>
      <c r="S72" s="218"/>
      <c r="T72" s="219"/>
      <c r="U72" s="216"/>
      <c r="V72" s="225" t="s">
        <v>74</v>
      </c>
      <c r="W72" s="226" t="str">
        <f>IF($E$16="","N/a",IF($J$45&lt;$J$33,'Transition Period Calculations'!E18,"N/a"))</f>
        <v>N/a</v>
      </c>
      <c r="X72" s="227" t="s">
        <v>75</v>
      </c>
      <c r="Y72" s="216"/>
      <c r="Z72" s="216"/>
      <c r="AA72" s="216"/>
      <c r="AB72" s="216"/>
      <c r="AC72" s="216"/>
      <c r="AD72" s="216"/>
      <c r="AE72" s="216"/>
      <c r="AF72" s="217"/>
      <c r="AM72" s="211"/>
      <c r="AN72" s="212"/>
      <c r="AO72" s="225" t="s">
        <v>74</v>
      </c>
      <c r="AP72" s="226">
        <f>IF(AP45&lt;AP33,'Transition Period Calculations'!H18,"N/a")</f>
        <v>1.1299095238095227</v>
      </c>
      <c r="AQ72" s="213" t="s">
        <v>75</v>
      </c>
      <c r="AR72" s="212"/>
      <c r="AS72" s="212"/>
      <c r="AT72" s="212"/>
      <c r="AU72" s="212"/>
      <c r="AV72" s="212"/>
      <c r="AW72" s="212"/>
      <c r="AX72" s="212"/>
      <c r="AY72" s="218"/>
      <c r="AZ72" s="219"/>
      <c r="BA72" s="216"/>
      <c r="BB72" s="225" t="s">
        <v>74</v>
      </c>
      <c r="BC72" s="226">
        <f>IF(AK21="","N/a",IF(AP45&lt;AP33,'Transition Period Calculations'!I18,"N/a"))</f>
        <v>11.299095238095227</v>
      </c>
      <c r="BD72" s="227" t="s">
        <v>75</v>
      </c>
      <c r="BE72" s="216"/>
      <c r="BF72" s="216"/>
      <c r="BG72" s="216"/>
      <c r="BH72" s="216"/>
      <c r="BI72" s="216"/>
      <c r="BJ72" s="216"/>
      <c r="BK72" s="216"/>
      <c r="BL72" s="217"/>
      <c r="BS72" s="211"/>
      <c r="BT72" s="212"/>
      <c r="BU72" s="225" t="s">
        <v>74</v>
      </c>
      <c r="BV72" s="226" t="str">
        <f>IF(BV45&lt;BV33,'Transition Period Calculations'!L18,"N/a")</f>
        <v>N/a</v>
      </c>
      <c r="BW72" s="213" t="s">
        <v>75</v>
      </c>
      <c r="BX72" s="212"/>
      <c r="BY72" s="212"/>
      <c r="BZ72" s="212"/>
      <c r="CA72" s="212"/>
      <c r="CB72" s="212"/>
      <c r="CC72" s="212"/>
      <c r="CD72" s="212"/>
      <c r="CE72" s="218"/>
      <c r="CF72" s="219"/>
      <c r="CG72" s="216"/>
      <c r="CH72" s="225" t="s">
        <v>74</v>
      </c>
      <c r="CI72" s="226" t="str">
        <f>IF(BQ21="","N/a",IF(BV45&lt;BV33,'Transition Period Calculations'!M18,"N/a"))</f>
        <v>N/a</v>
      </c>
      <c r="CJ72" s="227" t="s">
        <v>75</v>
      </c>
      <c r="CK72" s="216"/>
      <c r="CL72" s="216"/>
      <c r="CM72" s="216"/>
      <c r="CN72" s="216"/>
      <c r="CO72" s="216"/>
      <c r="CP72" s="216"/>
      <c r="CQ72" s="216"/>
      <c r="CR72" s="217"/>
      <c r="CY72" s="211"/>
      <c r="CZ72" s="212"/>
      <c r="DA72" s="225" t="s">
        <v>74</v>
      </c>
      <c r="DB72" s="226" t="str">
        <f>IF(DB45&lt;DB33,'Transition Period Calculations'!P18,"N/a")</f>
        <v>N/a</v>
      </c>
      <c r="DC72" s="213" t="s">
        <v>75</v>
      </c>
      <c r="DD72" s="212"/>
      <c r="DE72" s="212"/>
      <c r="DF72" s="212"/>
      <c r="DG72" s="212"/>
      <c r="DH72" s="212"/>
      <c r="DI72" s="212"/>
      <c r="DJ72" s="212"/>
      <c r="DK72" s="218"/>
      <c r="DL72" s="219"/>
      <c r="DM72" s="216"/>
      <c r="DN72" s="225" t="s">
        <v>74</v>
      </c>
      <c r="DO72" s="226" t="str">
        <f>IF(CW21="","N/a",IF(DB45&lt;DB33,'Transition Period Calculations'!Q18,"N/a"))</f>
        <v>N/a</v>
      </c>
      <c r="DP72" s="227" t="s">
        <v>75</v>
      </c>
      <c r="DQ72" s="216"/>
      <c r="DR72" s="216"/>
      <c r="DS72" s="216"/>
      <c r="DT72" s="216"/>
      <c r="DU72" s="216"/>
      <c r="DV72" s="216"/>
      <c r="DW72" s="216"/>
      <c r="DX72" s="217"/>
      <c r="EE72" s="211"/>
      <c r="EF72" s="212"/>
      <c r="EG72" s="225" t="s">
        <v>74</v>
      </c>
      <c r="EH72" s="226" t="str">
        <f>IF(EH45&lt;EH33,'Transition Period Calculations'!T18,"N/a")</f>
        <v>N/a</v>
      </c>
      <c r="EI72" s="213" t="s">
        <v>75</v>
      </c>
      <c r="EJ72" s="212"/>
      <c r="EK72" s="212"/>
      <c r="EL72" s="212"/>
      <c r="EM72" s="212"/>
      <c r="EN72" s="212"/>
      <c r="EO72" s="212"/>
      <c r="EP72" s="212"/>
      <c r="EQ72" s="218"/>
      <c r="ER72" s="219"/>
      <c r="ES72" s="216"/>
      <c r="ET72" s="225" t="s">
        <v>74</v>
      </c>
      <c r="EU72" s="226" t="str">
        <f>IF(EC21="","N/a",IF(EH45&lt;EH33,'Transition Period Calculations'!U18,"N/a"))</f>
        <v>N/a</v>
      </c>
      <c r="EV72" s="227" t="s">
        <v>75</v>
      </c>
      <c r="EW72" s="216"/>
      <c r="EX72" s="216"/>
      <c r="EY72" s="216"/>
      <c r="EZ72" s="216"/>
      <c r="FA72" s="216"/>
      <c r="FB72" s="216"/>
      <c r="FC72" s="216"/>
      <c r="FD72" s="217"/>
    </row>
    <row r="73" spans="3:160" x14ac:dyDescent="0.25">
      <c r="G73" s="211"/>
      <c r="H73" s="212"/>
      <c r="I73" s="212"/>
      <c r="J73" s="228"/>
      <c r="K73" s="212"/>
      <c r="L73" s="212"/>
      <c r="M73" s="212" t="str">
        <f>E41</f>
        <v>Near-natural Fen</v>
      </c>
      <c r="N73" s="221" t="str">
        <f>IF($J$45&lt;$J$33,J46,"N/a")</f>
        <v>N/a</v>
      </c>
      <c r="O73" s="212"/>
      <c r="P73" s="212"/>
      <c r="Q73" s="212"/>
      <c r="R73" s="212"/>
      <c r="S73" s="218"/>
      <c r="T73" s="219"/>
      <c r="U73" s="216"/>
      <c r="V73" s="216"/>
      <c r="W73" s="229"/>
      <c r="X73" s="216"/>
      <c r="Y73" s="216" t="str">
        <f>E41</f>
        <v>Near-natural Fen</v>
      </c>
      <c r="Z73" s="222" t="str">
        <f>IF($E$16="","N/a",IF($J$45&lt;$J$33,W46,"N/a"))</f>
        <v>N/a</v>
      </c>
      <c r="AA73" s="216"/>
      <c r="AB73" s="216"/>
      <c r="AC73" s="216"/>
      <c r="AD73" s="216"/>
      <c r="AE73" s="216"/>
      <c r="AF73" s="217"/>
      <c r="AM73" s="211"/>
      <c r="AN73" s="212"/>
      <c r="AO73" s="212"/>
      <c r="AP73" s="228"/>
      <c r="AQ73" s="212"/>
      <c r="AR73" s="212"/>
      <c r="AS73" s="212" t="str">
        <f>AK41</f>
        <v>Re-wetted Fen</v>
      </c>
      <c r="AT73" s="221">
        <f>IF(AP45&lt;AP33,AP46,"N/a")</f>
        <v>0</v>
      </c>
      <c r="AU73" s="212"/>
      <c r="AV73" s="212"/>
      <c r="AW73" s="212"/>
      <c r="AX73" s="212"/>
      <c r="AY73" s="218"/>
      <c r="AZ73" s="219"/>
      <c r="BA73" s="216"/>
      <c r="BB73" s="216"/>
      <c r="BC73" s="229"/>
      <c r="BD73" s="216"/>
      <c r="BE73" s="216" t="str">
        <f>AK41</f>
        <v>Re-wetted Fen</v>
      </c>
      <c r="BF73" s="222">
        <f>IF(AK21="","N/a",IF(AP45&lt;AP33,BC46,"N/a"))</f>
        <v>0</v>
      </c>
      <c r="BG73" s="216"/>
      <c r="BH73" s="216"/>
      <c r="BI73" s="216"/>
      <c r="BJ73" s="216"/>
      <c r="BK73" s="216"/>
      <c r="BL73" s="217"/>
      <c r="BS73" s="211"/>
      <c r="BT73" s="212"/>
      <c r="BU73" s="212"/>
      <c r="BV73" s="228"/>
      <c r="BW73" s="212"/>
      <c r="BX73" s="212"/>
      <c r="BY73" s="212">
        <f>BQ41</f>
        <v>0</v>
      </c>
      <c r="BZ73" s="221" t="str">
        <f>IF(BV45&lt;BV33,BV46,"N/a")</f>
        <v>N/a</v>
      </c>
      <c r="CA73" s="212"/>
      <c r="CB73" s="212"/>
      <c r="CC73" s="212"/>
      <c r="CD73" s="212"/>
      <c r="CE73" s="218"/>
      <c r="CF73" s="219"/>
      <c r="CG73" s="216"/>
      <c r="CH73" s="216"/>
      <c r="CI73" s="229"/>
      <c r="CJ73" s="216"/>
      <c r="CK73" s="216">
        <f>BQ41</f>
        <v>0</v>
      </c>
      <c r="CL73" s="222" t="str">
        <f>IF(BQ21="","N/a",IF(BV45&lt;BV33,CI46,"N/a"))</f>
        <v>N/a</v>
      </c>
      <c r="CM73" s="216"/>
      <c r="CN73" s="216"/>
      <c r="CO73" s="216"/>
      <c r="CP73" s="216"/>
      <c r="CQ73" s="216"/>
      <c r="CR73" s="217"/>
      <c r="CY73" s="211"/>
      <c r="CZ73" s="212"/>
      <c r="DA73" s="212"/>
      <c r="DB73" s="228"/>
      <c r="DC73" s="212"/>
      <c r="DD73" s="212"/>
      <c r="DE73" s="212">
        <f>CW41</f>
        <v>0</v>
      </c>
      <c r="DF73" s="221" t="str">
        <f>IF(DB45&lt;DB33,DB46,"N/a")</f>
        <v>N/a</v>
      </c>
      <c r="DG73" s="212"/>
      <c r="DH73" s="212"/>
      <c r="DI73" s="212"/>
      <c r="DJ73" s="212"/>
      <c r="DK73" s="218"/>
      <c r="DL73" s="219"/>
      <c r="DM73" s="216"/>
      <c r="DN73" s="216"/>
      <c r="DO73" s="229"/>
      <c r="DP73" s="216"/>
      <c r="DQ73" s="216">
        <f>CW41</f>
        <v>0</v>
      </c>
      <c r="DR73" s="222" t="str">
        <f>IF(CW21="","N/a",IF(DB45&lt;DB33,DO46,"N/a"))</f>
        <v>N/a</v>
      </c>
      <c r="DS73" s="216"/>
      <c r="DT73" s="216"/>
      <c r="DU73" s="216"/>
      <c r="DV73" s="216"/>
      <c r="DW73" s="216"/>
      <c r="DX73" s="217"/>
      <c r="EE73" s="211"/>
      <c r="EF73" s="212"/>
      <c r="EG73" s="212"/>
      <c r="EH73" s="228"/>
      <c r="EI73" s="212"/>
      <c r="EJ73" s="212"/>
      <c r="EK73" s="212">
        <f>EC41</f>
        <v>0</v>
      </c>
      <c r="EL73" s="221" t="str">
        <f>IF(EH45&lt;EH33,EH46,"N/a")</f>
        <v>N/a</v>
      </c>
      <c r="EM73" s="212"/>
      <c r="EN73" s="212"/>
      <c r="EO73" s="212"/>
      <c r="EP73" s="212"/>
      <c r="EQ73" s="218"/>
      <c r="ER73" s="219"/>
      <c r="ES73" s="216"/>
      <c r="ET73" s="216"/>
      <c r="EU73" s="229"/>
      <c r="EV73" s="216"/>
      <c r="EW73" s="216">
        <f>EC41</f>
        <v>0</v>
      </c>
      <c r="EX73" s="222" t="str">
        <f>IF(EC21="","N/a",IF(EH45&lt;EH33,EU46,"N/a"))</f>
        <v>N/a</v>
      </c>
      <c r="EY73" s="216"/>
      <c r="EZ73" s="216"/>
      <c r="FA73" s="216"/>
      <c r="FB73" s="216"/>
      <c r="FC73" s="216"/>
      <c r="FD73" s="217"/>
    </row>
    <row r="74" spans="3:160" x14ac:dyDescent="0.25">
      <c r="G74" s="211"/>
      <c r="H74" s="212"/>
      <c r="I74" s="212"/>
      <c r="J74" s="212"/>
      <c r="K74" s="212"/>
      <c r="L74" s="212"/>
      <c r="M74" s="212"/>
      <c r="N74" s="212"/>
      <c r="O74" s="212"/>
      <c r="P74" s="212"/>
      <c r="Q74" s="212"/>
      <c r="R74" s="212"/>
      <c r="S74" s="218"/>
      <c r="T74" s="219"/>
      <c r="U74" s="216"/>
      <c r="V74" s="216"/>
      <c r="W74" s="216"/>
      <c r="X74" s="216"/>
      <c r="Y74" s="216"/>
      <c r="Z74" s="216"/>
      <c r="AA74" s="216"/>
      <c r="AB74" s="216"/>
      <c r="AC74" s="216"/>
      <c r="AD74" s="216"/>
      <c r="AE74" s="216"/>
      <c r="AF74" s="217"/>
      <c r="AM74" s="211"/>
      <c r="AN74" s="212"/>
      <c r="AO74" s="212"/>
      <c r="AP74" s="212"/>
      <c r="AQ74" s="212"/>
      <c r="AR74" s="212"/>
      <c r="AS74" s="212"/>
      <c r="AT74" s="212"/>
      <c r="AU74" s="212"/>
      <c r="AV74" s="212"/>
      <c r="AW74" s="212"/>
      <c r="AX74" s="212"/>
      <c r="AY74" s="218"/>
      <c r="AZ74" s="219"/>
      <c r="BA74" s="216"/>
      <c r="BB74" s="216"/>
      <c r="BC74" s="216"/>
      <c r="BD74" s="216"/>
      <c r="BE74" s="216"/>
      <c r="BF74" s="216"/>
      <c r="BG74" s="216"/>
      <c r="BH74" s="216"/>
      <c r="BI74" s="216"/>
      <c r="BJ74" s="216"/>
      <c r="BK74" s="216"/>
      <c r="BL74" s="217"/>
      <c r="BS74" s="211"/>
      <c r="BT74" s="212"/>
      <c r="BU74" s="212"/>
      <c r="BV74" s="212"/>
      <c r="BW74" s="212"/>
      <c r="BX74" s="212"/>
      <c r="BY74" s="212"/>
      <c r="BZ74" s="212"/>
      <c r="CA74" s="212"/>
      <c r="CB74" s="212"/>
      <c r="CC74" s="212"/>
      <c r="CD74" s="212"/>
      <c r="CE74" s="218"/>
      <c r="CF74" s="219"/>
      <c r="CG74" s="216"/>
      <c r="CH74" s="216"/>
      <c r="CI74" s="216"/>
      <c r="CJ74" s="216"/>
      <c r="CK74" s="216"/>
      <c r="CL74" s="216"/>
      <c r="CM74" s="216"/>
      <c r="CN74" s="216"/>
      <c r="CO74" s="216"/>
      <c r="CP74" s="216"/>
      <c r="CQ74" s="216"/>
      <c r="CR74" s="217"/>
      <c r="CY74" s="211"/>
      <c r="CZ74" s="212"/>
      <c r="DA74" s="212"/>
      <c r="DB74" s="212"/>
      <c r="DC74" s="212"/>
      <c r="DD74" s="212"/>
      <c r="DE74" s="212"/>
      <c r="DF74" s="212"/>
      <c r="DG74" s="212"/>
      <c r="DH74" s="212"/>
      <c r="DI74" s="212"/>
      <c r="DJ74" s="212"/>
      <c r="DK74" s="218"/>
      <c r="DL74" s="219"/>
      <c r="DM74" s="216"/>
      <c r="DN74" s="216"/>
      <c r="DO74" s="216"/>
      <c r="DP74" s="216"/>
      <c r="DQ74" s="216"/>
      <c r="DR74" s="216"/>
      <c r="DS74" s="216"/>
      <c r="DT74" s="216"/>
      <c r="DU74" s="216"/>
      <c r="DV74" s="216"/>
      <c r="DW74" s="216"/>
      <c r="DX74" s="217"/>
      <c r="EE74" s="211"/>
      <c r="EF74" s="212"/>
      <c r="EG74" s="212"/>
      <c r="EH74" s="212"/>
      <c r="EI74" s="212"/>
      <c r="EJ74" s="212"/>
      <c r="EK74" s="212"/>
      <c r="EL74" s="212"/>
      <c r="EM74" s="212"/>
      <c r="EN74" s="212"/>
      <c r="EO74" s="212"/>
      <c r="EP74" s="212"/>
      <c r="EQ74" s="218"/>
      <c r="ER74" s="219"/>
      <c r="ES74" s="216"/>
      <c r="ET74" s="216"/>
      <c r="EU74" s="216"/>
      <c r="EV74" s="216"/>
      <c r="EW74" s="216"/>
      <c r="EX74" s="216"/>
      <c r="EY74" s="216"/>
      <c r="EZ74" s="216"/>
      <c r="FA74" s="216"/>
      <c r="FB74" s="216"/>
      <c r="FC74" s="216"/>
      <c r="FD74" s="217"/>
    </row>
    <row r="75" spans="3:160" ht="15.75" thickBot="1" x14ac:dyDescent="0.3">
      <c r="G75" s="211"/>
      <c r="H75" s="212"/>
      <c r="I75" s="212"/>
      <c r="J75" s="212"/>
      <c r="K75" s="212"/>
      <c r="L75" s="212"/>
      <c r="M75" s="212" t="str">
        <f>E29</f>
        <v>Modified Fen</v>
      </c>
      <c r="N75" s="221" t="str">
        <f>IF($J$45&lt;$J$33,J36,"N/a")</f>
        <v>N/a</v>
      </c>
      <c r="O75" s="212"/>
      <c r="P75" s="212"/>
      <c r="Q75" s="212"/>
      <c r="R75" s="212"/>
      <c r="S75" s="218"/>
      <c r="T75" s="219"/>
      <c r="U75" s="216"/>
      <c r="V75" s="216"/>
      <c r="W75" s="216"/>
      <c r="X75" s="216"/>
      <c r="Y75" s="216"/>
      <c r="Z75" s="216"/>
      <c r="AA75" s="216"/>
      <c r="AB75" s="216"/>
      <c r="AC75" s="216"/>
      <c r="AD75" s="216"/>
      <c r="AE75" s="216"/>
      <c r="AF75" s="217"/>
      <c r="AM75" s="211"/>
      <c r="AN75" s="212"/>
      <c r="AO75" s="212"/>
      <c r="AP75" s="212"/>
      <c r="AQ75" s="212"/>
      <c r="AR75" s="212"/>
      <c r="AS75" s="212" t="str">
        <f>AK29</f>
        <v>Cropland</v>
      </c>
      <c r="AT75" s="221">
        <f>IF(AP45&lt;AP33,AP36,"N/a")</f>
        <v>20.149556531142906</v>
      </c>
      <c r="AU75" s="212"/>
      <c r="AV75" s="212"/>
      <c r="AW75" s="212"/>
      <c r="AX75" s="212"/>
      <c r="AY75" s="218"/>
      <c r="AZ75" s="219"/>
      <c r="BA75" s="216"/>
      <c r="BB75" s="216"/>
      <c r="BC75" s="216"/>
      <c r="BD75" s="216"/>
      <c r="BE75" s="216"/>
      <c r="BF75" s="216"/>
      <c r="BG75" s="216"/>
      <c r="BH75" s="216"/>
      <c r="BI75" s="216"/>
      <c r="BJ75" s="216"/>
      <c r="BK75" s="216"/>
      <c r="BL75" s="217"/>
      <c r="BS75" s="211"/>
      <c r="BT75" s="212"/>
      <c r="BU75" s="212"/>
      <c r="BV75" s="212"/>
      <c r="BW75" s="212"/>
      <c r="BX75" s="212"/>
      <c r="BY75" s="212">
        <f>BQ29</f>
        <v>0</v>
      </c>
      <c r="BZ75" s="221" t="str">
        <f>IF(BV45&lt;BV33,BV36,"N/a")</f>
        <v>N/a</v>
      </c>
      <c r="CA75" s="212"/>
      <c r="CB75" s="212"/>
      <c r="CC75" s="212"/>
      <c r="CD75" s="212"/>
      <c r="CE75" s="218"/>
      <c r="CF75" s="219"/>
      <c r="CG75" s="216"/>
      <c r="CH75" s="216"/>
      <c r="CI75" s="216"/>
      <c r="CJ75" s="216"/>
      <c r="CK75" s="216"/>
      <c r="CL75" s="216"/>
      <c r="CM75" s="216"/>
      <c r="CN75" s="216"/>
      <c r="CO75" s="216"/>
      <c r="CP75" s="216"/>
      <c r="CQ75" s="216"/>
      <c r="CR75" s="217"/>
      <c r="CY75" s="211"/>
      <c r="CZ75" s="212"/>
      <c r="DA75" s="212"/>
      <c r="DB75" s="212"/>
      <c r="DC75" s="212"/>
      <c r="DD75" s="212"/>
      <c r="DE75" s="212">
        <f>CW29</f>
        <v>0</v>
      </c>
      <c r="DF75" s="221" t="str">
        <f>IF(DB45&lt;DB33,DB36,"N/a")</f>
        <v>N/a</v>
      </c>
      <c r="DG75" s="212"/>
      <c r="DH75" s="212"/>
      <c r="DI75" s="212"/>
      <c r="DJ75" s="212"/>
      <c r="DK75" s="218"/>
      <c r="DL75" s="219"/>
      <c r="DM75" s="216"/>
      <c r="DN75" s="216"/>
      <c r="DO75" s="216"/>
      <c r="DP75" s="216"/>
      <c r="DQ75" s="216"/>
      <c r="DR75" s="216"/>
      <c r="DS75" s="216"/>
      <c r="DT75" s="216"/>
      <c r="DU75" s="216"/>
      <c r="DV75" s="216"/>
      <c r="DW75" s="216"/>
      <c r="DX75" s="217"/>
      <c r="EE75" s="211"/>
      <c r="EF75" s="212"/>
      <c r="EG75" s="212"/>
      <c r="EH75" s="212"/>
      <c r="EI75" s="212"/>
      <c r="EJ75" s="212"/>
      <c r="EK75" s="212">
        <f>EC29</f>
        <v>0</v>
      </c>
      <c r="EL75" s="221" t="str">
        <f>IF(EH45&lt;EH33,EH36,"N/a")</f>
        <v>N/a</v>
      </c>
      <c r="EM75" s="212"/>
      <c r="EN75" s="212"/>
      <c r="EO75" s="212"/>
      <c r="EP75" s="212"/>
      <c r="EQ75" s="218"/>
      <c r="ER75" s="219"/>
      <c r="ES75" s="216"/>
      <c r="ET75" s="216"/>
      <c r="EU75" s="216"/>
      <c r="EV75" s="216"/>
      <c r="EW75" s="216"/>
      <c r="EX75" s="216"/>
      <c r="EY75" s="216"/>
      <c r="EZ75" s="216"/>
      <c r="FA75" s="216"/>
      <c r="FB75" s="216"/>
      <c r="FC75" s="216"/>
      <c r="FD75" s="217"/>
    </row>
    <row r="76" spans="3:160" ht="21.75" thickBot="1" x14ac:dyDescent="0.4">
      <c r="G76" s="211"/>
      <c r="H76" s="191" t="s">
        <v>32</v>
      </c>
      <c r="I76" s="160" t="s">
        <v>76</v>
      </c>
      <c r="J76" s="230" t="s">
        <v>69</v>
      </c>
      <c r="K76" s="213" t="s">
        <v>75</v>
      </c>
      <c r="L76" s="212"/>
      <c r="M76" s="212"/>
      <c r="N76" s="212"/>
      <c r="O76" s="212"/>
      <c r="P76" s="212"/>
      <c r="Q76" s="212"/>
      <c r="R76" s="212"/>
      <c r="S76" s="218"/>
      <c r="T76" s="219"/>
      <c r="U76" s="191" t="s">
        <v>32</v>
      </c>
      <c r="V76" s="160" t="s">
        <v>76</v>
      </c>
      <c r="W76" s="230" t="s">
        <v>69</v>
      </c>
      <c r="X76" s="227" t="s">
        <v>75</v>
      </c>
      <c r="Y76" s="216" t="str">
        <f>E29</f>
        <v>Modified Fen</v>
      </c>
      <c r="Z76" s="222" t="str">
        <f>IF($E$16="","N/a",IF($J$45&lt;$J$33,W36,"N/a"))</f>
        <v>N/a</v>
      </c>
      <c r="AA76" s="216"/>
      <c r="AB76" s="216"/>
      <c r="AC76" s="216"/>
      <c r="AD76" s="216"/>
      <c r="AE76" s="216"/>
      <c r="AF76" s="217"/>
      <c r="AM76" s="211"/>
      <c r="AN76" s="191" t="s">
        <v>32</v>
      </c>
      <c r="AO76" s="160" t="s">
        <v>76</v>
      </c>
      <c r="AP76" s="230" t="s">
        <v>69</v>
      </c>
      <c r="AQ76" s="213" t="s">
        <v>75</v>
      </c>
      <c r="AR76" s="212"/>
      <c r="AS76" s="212"/>
      <c r="AT76" s="212"/>
      <c r="AU76" s="212"/>
      <c r="AV76" s="212"/>
      <c r="AW76" s="212"/>
      <c r="AX76" s="212"/>
      <c r="AY76" s="218"/>
      <c r="AZ76" s="219"/>
      <c r="BA76" s="191" t="s">
        <v>32</v>
      </c>
      <c r="BB76" s="160" t="s">
        <v>76</v>
      </c>
      <c r="BC76" s="230" t="s">
        <v>69</v>
      </c>
      <c r="BD76" s="227" t="s">
        <v>75</v>
      </c>
      <c r="BE76" s="216" t="str">
        <f>AK29</f>
        <v>Cropland</v>
      </c>
      <c r="BF76" s="222">
        <f>IF(AK21="","N/a",IF(AP45&lt;AP33,BC36,"N/a"))</f>
        <v>201.49556531142906</v>
      </c>
      <c r="BG76" s="216"/>
      <c r="BH76" s="216"/>
      <c r="BI76" s="216"/>
      <c r="BJ76" s="216"/>
      <c r="BK76" s="216"/>
      <c r="BL76" s="217"/>
      <c r="BS76" s="211"/>
      <c r="BT76" s="191" t="s">
        <v>32</v>
      </c>
      <c r="BU76" s="160" t="s">
        <v>76</v>
      </c>
      <c r="BV76" s="230" t="s">
        <v>69</v>
      </c>
      <c r="BW76" s="213" t="s">
        <v>75</v>
      </c>
      <c r="BX76" s="212"/>
      <c r="BY76" s="212"/>
      <c r="BZ76" s="212"/>
      <c r="CA76" s="212"/>
      <c r="CB76" s="212"/>
      <c r="CC76" s="212"/>
      <c r="CD76" s="212"/>
      <c r="CE76" s="218"/>
      <c r="CF76" s="219"/>
      <c r="CG76" s="191" t="s">
        <v>32</v>
      </c>
      <c r="CH76" s="160" t="s">
        <v>76</v>
      </c>
      <c r="CI76" s="230" t="s">
        <v>69</v>
      </c>
      <c r="CJ76" s="227" t="s">
        <v>75</v>
      </c>
      <c r="CK76" s="216">
        <f>BQ29</f>
        <v>0</v>
      </c>
      <c r="CL76" s="222" t="str">
        <f>IF(BQ21="","N/a",IF(BV45&lt;BV33,CI36,"N/a"))</f>
        <v>N/a</v>
      </c>
      <c r="CM76" s="216"/>
      <c r="CN76" s="216"/>
      <c r="CO76" s="216"/>
      <c r="CP76" s="216"/>
      <c r="CQ76" s="216"/>
      <c r="CR76" s="217"/>
      <c r="CY76" s="211"/>
      <c r="CZ76" s="191" t="s">
        <v>32</v>
      </c>
      <c r="DA76" s="160" t="s">
        <v>76</v>
      </c>
      <c r="DB76" s="230" t="s">
        <v>69</v>
      </c>
      <c r="DC76" s="213" t="s">
        <v>75</v>
      </c>
      <c r="DD76" s="212"/>
      <c r="DE76" s="212"/>
      <c r="DF76" s="212"/>
      <c r="DG76" s="212"/>
      <c r="DH76" s="212"/>
      <c r="DI76" s="212"/>
      <c r="DJ76" s="212"/>
      <c r="DK76" s="218"/>
      <c r="DL76" s="219"/>
      <c r="DM76" s="191" t="s">
        <v>32</v>
      </c>
      <c r="DN76" s="160" t="s">
        <v>76</v>
      </c>
      <c r="DO76" s="230" t="s">
        <v>69</v>
      </c>
      <c r="DP76" s="227" t="s">
        <v>75</v>
      </c>
      <c r="DQ76" s="216">
        <f>CW29</f>
        <v>0</v>
      </c>
      <c r="DR76" s="222" t="str">
        <f>IF(CW21="","N/a",IF(DB45&lt;DB33,DO36,"N/a"))</f>
        <v>N/a</v>
      </c>
      <c r="DS76" s="216"/>
      <c r="DT76" s="216"/>
      <c r="DU76" s="216"/>
      <c r="DV76" s="216"/>
      <c r="DW76" s="216"/>
      <c r="DX76" s="217"/>
      <c r="EE76" s="211"/>
      <c r="EF76" s="191" t="s">
        <v>32</v>
      </c>
      <c r="EG76" s="160" t="s">
        <v>76</v>
      </c>
      <c r="EH76" s="230" t="s">
        <v>69</v>
      </c>
      <c r="EI76" s="213" t="s">
        <v>75</v>
      </c>
      <c r="EJ76" s="212"/>
      <c r="EK76" s="212"/>
      <c r="EL76" s="212"/>
      <c r="EM76" s="212"/>
      <c r="EN76" s="212"/>
      <c r="EO76" s="212"/>
      <c r="EP76" s="212"/>
      <c r="EQ76" s="218"/>
      <c r="ER76" s="219"/>
      <c r="ES76" s="191" t="s">
        <v>32</v>
      </c>
      <c r="ET76" s="160" t="s">
        <v>76</v>
      </c>
      <c r="EU76" s="230" t="s">
        <v>69</v>
      </c>
      <c r="EV76" s="227" t="s">
        <v>75</v>
      </c>
      <c r="EW76" s="216">
        <f>EC29</f>
        <v>0</v>
      </c>
      <c r="EX76" s="222" t="str">
        <f>IF(EC21="","N/a",IF(EH45&lt;EH33,EU36,"N/a"))</f>
        <v>N/a</v>
      </c>
      <c r="EY76" s="216"/>
      <c r="EZ76" s="216"/>
      <c r="FA76" s="216"/>
      <c r="FB76" s="216"/>
      <c r="FC76" s="216"/>
      <c r="FD76" s="217"/>
    </row>
    <row r="77" spans="3:160" x14ac:dyDescent="0.25">
      <c r="G77" s="211"/>
      <c r="H77" s="212"/>
      <c r="I77" s="154" t="s">
        <v>70</v>
      </c>
      <c r="J77" s="231" t="str">
        <f>IF($J$45&lt;$J$33,'Transition Period Calculations'!D23,"N/a")</f>
        <v>N/a</v>
      </c>
      <c r="K77" s="212"/>
      <c r="L77" s="212"/>
      <c r="M77" s="212"/>
      <c r="N77" s="212"/>
      <c r="O77" s="212"/>
      <c r="P77" s="212"/>
      <c r="Q77" s="212"/>
      <c r="R77" s="212"/>
      <c r="S77" s="218"/>
      <c r="T77" s="219"/>
      <c r="U77" s="216"/>
      <c r="V77" s="154" t="s">
        <v>70</v>
      </c>
      <c r="W77" s="224" t="str">
        <f>IF($E$16="","N/a",IF($J$45&lt;$J$33,'Transition Period Calculations'!E23,"N/a"))</f>
        <v>N/a</v>
      </c>
      <c r="X77" s="216"/>
      <c r="Y77" s="216"/>
      <c r="Z77" s="216"/>
      <c r="AA77" s="216"/>
      <c r="AB77" s="216"/>
      <c r="AC77" s="216"/>
      <c r="AD77" s="216"/>
      <c r="AE77" s="216"/>
      <c r="AF77" s="217"/>
      <c r="AM77" s="211"/>
      <c r="AN77" s="212"/>
      <c r="AO77" s="154" t="s">
        <v>70</v>
      </c>
      <c r="AP77" s="231">
        <f>IF(AP45&lt;AP33,'Transition Period Calculations'!H23,"N/a")</f>
        <v>10.366447768466543</v>
      </c>
      <c r="AQ77" s="212"/>
      <c r="AR77" s="212"/>
      <c r="AS77" s="212"/>
      <c r="AT77" s="212"/>
      <c r="AU77" s="212"/>
      <c r="AV77" s="212"/>
      <c r="AW77" s="212"/>
      <c r="AX77" s="212"/>
      <c r="AY77" s="218"/>
      <c r="AZ77" s="219"/>
      <c r="BA77" s="216"/>
      <c r="BB77" s="154" t="s">
        <v>70</v>
      </c>
      <c r="BC77" s="224">
        <f>IF(AK21="","N/a",IF(AP45&lt;AP33,'Transition Period Calculations'!I23,"N/a"))</f>
        <v>103.66447768466543</v>
      </c>
      <c r="BD77" s="216"/>
      <c r="BE77" s="216"/>
      <c r="BF77" s="216"/>
      <c r="BG77" s="216"/>
      <c r="BH77" s="216"/>
      <c r="BI77" s="216"/>
      <c r="BJ77" s="216"/>
      <c r="BK77" s="216"/>
      <c r="BL77" s="217"/>
      <c r="BS77" s="211"/>
      <c r="BT77" s="212"/>
      <c r="BU77" s="154" t="s">
        <v>70</v>
      </c>
      <c r="BV77" s="231" t="str">
        <f>IF(BV45&lt;BV33,'Transition Period Calculations'!L23,"N/a")</f>
        <v>N/a</v>
      </c>
      <c r="BW77" s="212"/>
      <c r="BX77" s="212"/>
      <c r="BY77" s="212"/>
      <c r="BZ77" s="212"/>
      <c r="CA77" s="212"/>
      <c r="CB77" s="212"/>
      <c r="CC77" s="212"/>
      <c r="CD77" s="212"/>
      <c r="CE77" s="218"/>
      <c r="CF77" s="219"/>
      <c r="CG77" s="216"/>
      <c r="CH77" s="154" t="s">
        <v>70</v>
      </c>
      <c r="CI77" s="224" t="str">
        <f>IF(BQ21="","N/a",IF(BV45&lt;BV33,'Transition Period Calculations'!M23,"N/a"))</f>
        <v>N/a</v>
      </c>
      <c r="CJ77" s="216"/>
      <c r="CK77" s="216"/>
      <c r="CL77" s="216"/>
      <c r="CM77" s="216"/>
      <c r="CN77" s="216"/>
      <c r="CO77" s="216"/>
      <c r="CP77" s="216"/>
      <c r="CQ77" s="216"/>
      <c r="CR77" s="217"/>
      <c r="CY77" s="211"/>
      <c r="CZ77" s="212"/>
      <c r="DA77" s="154" t="s">
        <v>70</v>
      </c>
      <c r="DB77" s="231" t="str">
        <f>IF(DB45&lt;DB33,'Transition Period Calculations'!P23,"N/a")</f>
        <v>N/a</v>
      </c>
      <c r="DC77" s="212"/>
      <c r="DD77" s="212"/>
      <c r="DE77" s="212"/>
      <c r="DF77" s="212"/>
      <c r="DG77" s="212"/>
      <c r="DH77" s="212"/>
      <c r="DI77" s="212"/>
      <c r="DJ77" s="212"/>
      <c r="DK77" s="218"/>
      <c r="DL77" s="219"/>
      <c r="DM77" s="216"/>
      <c r="DN77" s="154" t="s">
        <v>70</v>
      </c>
      <c r="DO77" s="224" t="str">
        <f>IF(CW21="","N/a",IF(DB45&lt;DB33,'Transition Period Calculations'!Q23,"N/a"))</f>
        <v>N/a</v>
      </c>
      <c r="DP77" s="216"/>
      <c r="DQ77" s="216"/>
      <c r="DR77" s="216"/>
      <c r="DS77" s="216"/>
      <c r="DT77" s="216"/>
      <c r="DU77" s="216"/>
      <c r="DV77" s="216"/>
      <c r="DW77" s="216"/>
      <c r="DX77" s="217"/>
      <c r="EE77" s="211"/>
      <c r="EF77" s="212"/>
      <c r="EG77" s="154" t="s">
        <v>70</v>
      </c>
      <c r="EH77" s="231" t="str">
        <f>IF(EH45&lt;EH33,'Transition Period Calculations'!T23,"N/a")</f>
        <v>N/a</v>
      </c>
      <c r="EI77" s="212"/>
      <c r="EJ77" s="212"/>
      <c r="EK77" s="212"/>
      <c r="EL77" s="212"/>
      <c r="EM77" s="212"/>
      <c r="EN77" s="212"/>
      <c r="EO77" s="212"/>
      <c r="EP77" s="212"/>
      <c r="EQ77" s="218"/>
      <c r="ER77" s="219"/>
      <c r="ES77" s="216"/>
      <c r="ET77" s="154" t="s">
        <v>70</v>
      </c>
      <c r="EU77" s="224" t="str">
        <f>IF(EC21="","N/a",IF(EH45&lt;EH33,'Transition Period Calculations'!U23,"N/a"))</f>
        <v>N/a</v>
      </c>
      <c r="EV77" s="216"/>
      <c r="EW77" s="216"/>
      <c r="EX77" s="216"/>
      <c r="EY77" s="216"/>
      <c r="EZ77" s="216"/>
      <c r="FA77" s="216"/>
      <c r="FB77" s="216"/>
      <c r="FC77" s="216"/>
      <c r="FD77" s="217"/>
    </row>
    <row r="78" spans="3:160" x14ac:dyDescent="0.25">
      <c r="G78" s="211"/>
      <c r="H78" s="212"/>
      <c r="I78" s="154" t="s">
        <v>71</v>
      </c>
      <c r="J78" s="231" t="str">
        <f>IF($J$45&lt;$J$33,'Transition Period Calculations'!D24,"N/a")</f>
        <v>N/a</v>
      </c>
      <c r="K78" s="212"/>
      <c r="L78" s="212"/>
      <c r="M78" s="212"/>
      <c r="N78" s="212"/>
      <c r="O78" s="212"/>
      <c r="P78" s="212"/>
      <c r="Q78" s="212"/>
      <c r="R78" s="212"/>
      <c r="S78" s="218"/>
      <c r="T78" s="219"/>
      <c r="U78" s="216"/>
      <c r="V78" s="154" t="s">
        <v>71</v>
      </c>
      <c r="W78" s="155" t="str">
        <f>IF($E$16="","N/a",IF($J$45&lt;$J$33,'Transition Period Calculations'!E24,"N/a"))</f>
        <v>N/a</v>
      </c>
      <c r="X78" s="216"/>
      <c r="Y78" s="216"/>
      <c r="Z78" s="216"/>
      <c r="AA78" s="216"/>
      <c r="AB78" s="216"/>
      <c r="AC78" s="216"/>
      <c r="AD78" s="216"/>
      <c r="AE78" s="216"/>
      <c r="AF78" s="217"/>
      <c r="AM78" s="211"/>
      <c r="AN78" s="212"/>
      <c r="AO78" s="154" t="s">
        <v>71</v>
      </c>
      <c r="AP78" s="231">
        <f>IF(AP45&lt;AP33,'Transition Period Calculations'!H24,"N/a")</f>
        <v>9.2365382446570177</v>
      </c>
      <c r="AQ78" s="212"/>
      <c r="AR78" s="212"/>
      <c r="AS78" s="212"/>
      <c r="AT78" s="212"/>
      <c r="AU78" s="212"/>
      <c r="AV78" s="212"/>
      <c r="AW78" s="212"/>
      <c r="AX78" s="212"/>
      <c r="AY78" s="218"/>
      <c r="AZ78" s="219"/>
      <c r="BA78" s="216"/>
      <c r="BB78" s="154" t="s">
        <v>71</v>
      </c>
      <c r="BC78" s="155">
        <f>IF(AK21="","N/a",IF(AP45&lt;AP33,'Transition Period Calculations'!I24,"N/a"))</f>
        <v>92.36538244657018</v>
      </c>
      <c r="BD78" s="216"/>
      <c r="BE78" s="216"/>
      <c r="BF78" s="216"/>
      <c r="BG78" s="216"/>
      <c r="BH78" s="216"/>
      <c r="BI78" s="216"/>
      <c r="BJ78" s="216"/>
      <c r="BK78" s="216"/>
      <c r="BL78" s="217"/>
      <c r="BS78" s="211"/>
      <c r="BT78" s="212"/>
      <c r="BU78" s="154" t="s">
        <v>71</v>
      </c>
      <c r="BV78" s="231" t="str">
        <f>IF(BV45&lt;BV33,'Transition Period Calculations'!L24,"N/a")</f>
        <v>N/a</v>
      </c>
      <c r="BW78" s="212"/>
      <c r="BX78" s="212"/>
      <c r="BY78" s="212"/>
      <c r="BZ78" s="212"/>
      <c r="CA78" s="212"/>
      <c r="CB78" s="212"/>
      <c r="CC78" s="212"/>
      <c r="CD78" s="212"/>
      <c r="CE78" s="218"/>
      <c r="CF78" s="219"/>
      <c r="CG78" s="216"/>
      <c r="CH78" s="154" t="s">
        <v>71</v>
      </c>
      <c r="CI78" s="155" t="str">
        <f>IF(BQ21="","N/a",IF(BV45&lt;BV33,'Transition Period Calculations'!M24,"N/a"))</f>
        <v>N/a</v>
      </c>
      <c r="CJ78" s="216"/>
      <c r="CK78" s="216"/>
      <c r="CL78" s="216"/>
      <c r="CM78" s="216"/>
      <c r="CN78" s="216"/>
      <c r="CO78" s="216"/>
      <c r="CP78" s="216"/>
      <c r="CQ78" s="216"/>
      <c r="CR78" s="217"/>
      <c r="CY78" s="211"/>
      <c r="CZ78" s="212"/>
      <c r="DA78" s="154" t="s">
        <v>71</v>
      </c>
      <c r="DB78" s="231" t="str">
        <f>IF(DB45&lt;DB33,'Transition Period Calculations'!P24,"N/a")</f>
        <v>N/a</v>
      </c>
      <c r="DC78" s="212"/>
      <c r="DD78" s="212"/>
      <c r="DE78" s="212"/>
      <c r="DF78" s="212"/>
      <c r="DG78" s="212"/>
      <c r="DH78" s="212"/>
      <c r="DI78" s="212"/>
      <c r="DJ78" s="212"/>
      <c r="DK78" s="218"/>
      <c r="DL78" s="219"/>
      <c r="DM78" s="216"/>
      <c r="DN78" s="154" t="s">
        <v>71</v>
      </c>
      <c r="DO78" s="155" t="str">
        <f>IF(CW21="","N/a",IF(DB45&lt;DB33,'Transition Period Calculations'!Q24,"N/a"))</f>
        <v>N/a</v>
      </c>
      <c r="DP78" s="216"/>
      <c r="DQ78" s="216"/>
      <c r="DR78" s="216"/>
      <c r="DS78" s="216"/>
      <c r="DT78" s="216"/>
      <c r="DU78" s="216"/>
      <c r="DV78" s="216"/>
      <c r="DW78" s="216"/>
      <c r="DX78" s="217"/>
      <c r="EE78" s="211"/>
      <c r="EF78" s="212"/>
      <c r="EG78" s="154" t="s">
        <v>71</v>
      </c>
      <c r="EH78" s="231" t="str">
        <f>IF(EH45&lt;EH33,'Transition Period Calculations'!T24,"N/a")</f>
        <v>N/a</v>
      </c>
      <c r="EI78" s="212"/>
      <c r="EJ78" s="212"/>
      <c r="EK78" s="212"/>
      <c r="EL78" s="212"/>
      <c r="EM78" s="212"/>
      <c r="EN78" s="212"/>
      <c r="EO78" s="212"/>
      <c r="EP78" s="212"/>
      <c r="EQ78" s="218"/>
      <c r="ER78" s="219"/>
      <c r="ES78" s="216"/>
      <c r="ET78" s="154" t="s">
        <v>71</v>
      </c>
      <c r="EU78" s="155" t="str">
        <f>IF(EC21="","N/a",IF(EH45&lt;EH33,'Transition Period Calculations'!U24,"N/a"))</f>
        <v>N/a</v>
      </c>
      <c r="EV78" s="216"/>
      <c r="EW78" s="216"/>
      <c r="EX78" s="216"/>
      <c r="EY78" s="216"/>
      <c r="EZ78" s="216"/>
      <c r="FA78" s="216"/>
      <c r="FB78" s="216"/>
      <c r="FC78" s="216"/>
      <c r="FD78" s="217"/>
    </row>
    <row r="79" spans="3:160" x14ac:dyDescent="0.25">
      <c r="G79" s="211"/>
      <c r="H79" s="212"/>
      <c r="I79" s="154" t="s">
        <v>72</v>
      </c>
      <c r="J79" s="231" t="str">
        <f>IF($J$45&lt;$J$33,'Transition Period Calculations'!D25,"N/a")</f>
        <v>N/a</v>
      </c>
      <c r="K79" s="212"/>
      <c r="L79" s="212"/>
      <c r="M79" s="212"/>
      <c r="N79" s="212"/>
      <c r="O79" s="212"/>
      <c r="P79" s="212"/>
      <c r="Q79" s="212"/>
      <c r="R79" s="212"/>
      <c r="S79" s="218"/>
      <c r="T79" s="219"/>
      <c r="U79" s="216"/>
      <c r="V79" s="154" t="s">
        <v>72</v>
      </c>
      <c r="W79" s="155" t="str">
        <f>IF($E$16="","N/a",IF($J$45&lt;$J$33,'Transition Period Calculations'!E25,"N/a"))</f>
        <v>N/a</v>
      </c>
      <c r="X79" s="216"/>
      <c r="Y79" s="216"/>
      <c r="Z79" s="216"/>
      <c r="AA79" s="216"/>
      <c r="AB79" s="216"/>
      <c r="AC79" s="216"/>
      <c r="AD79" s="216"/>
      <c r="AE79" s="216"/>
      <c r="AF79" s="217"/>
      <c r="AM79" s="211"/>
      <c r="AN79" s="212"/>
      <c r="AO79" s="154" t="s">
        <v>72</v>
      </c>
      <c r="AP79" s="231">
        <f>IF(AP45&lt;AP33,'Transition Period Calculations'!H25,"N/a")</f>
        <v>8.1066287208474925</v>
      </c>
      <c r="AQ79" s="212"/>
      <c r="AR79" s="212"/>
      <c r="AS79" s="212"/>
      <c r="AT79" s="212"/>
      <c r="AU79" s="212"/>
      <c r="AV79" s="212"/>
      <c r="AW79" s="212"/>
      <c r="AX79" s="212"/>
      <c r="AY79" s="218"/>
      <c r="AZ79" s="219"/>
      <c r="BA79" s="216"/>
      <c r="BB79" s="154" t="s">
        <v>72</v>
      </c>
      <c r="BC79" s="155">
        <f>IF(AK21="","N/a",IF(AP45&lt;AP33,'Transition Period Calculations'!I25,"N/a"))</f>
        <v>81.066287208474932</v>
      </c>
      <c r="BD79" s="216"/>
      <c r="BE79" s="216"/>
      <c r="BF79" s="216"/>
      <c r="BG79" s="216"/>
      <c r="BH79" s="216"/>
      <c r="BI79" s="216"/>
      <c r="BJ79" s="216"/>
      <c r="BK79" s="216"/>
      <c r="BL79" s="217"/>
      <c r="BS79" s="211"/>
      <c r="BT79" s="212"/>
      <c r="BU79" s="154" t="s">
        <v>72</v>
      </c>
      <c r="BV79" s="231" t="str">
        <f>IF(BV45&lt;BV33,'Transition Period Calculations'!L25,"N/a")</f>
        <v>N/a</v>
      </c>
      <c r="BW79" s="212"/>
      <c r="BX79" s="212"/>
      <c r="BY79" s="212"/>
      <c r="BZ79" s="212"/>
      <c r="CA79" s="212"/>
      <c r="CB79" s="212"/>
      <c r="CC79" s="212"/>
      <c r="CD79" s="212"/>
      <c r="CE79" s="218"/>
      <c r="CF79" s="219"/>
      <c r="CG79" s="216"/>
      <c r="CH79" s="154" t="s">
        <v>72</v>
      </c>
      <c r="CI79" s="155" t="str">
        <f>IF(BQ21="","N/a",IF(BV45&lt;BV33,'Transition Period Calculations'!M25,"N/a"))</f>
        <v>N/a</v>
      </c>
      <c r="CJ79" s="216"/>
      <c r="CK79" s="216"/>
      <c r="CL79" s="216"/>
      <c r="CM79" s="216"/>
      <c r="CN79" s="216"/>
      <c r="CO79" s="216"/>
      <c r="CP79" s="216"/>
      <c r="CQ79" s="216"/>
      <c r="CR79" s="217"/>
      <c r="CY79" s="211"/>
      <c r="CZ79" s="212"/>
      <c r="DA79" s="154" t="s">
        <v>72</v>
      </c>
      <c r="DB79" s="231" t="str">
        <f>IF(DB45&lt;DB33,'Transition Period Calculations'!P25,"N/a")</f>
        <v>N/a</v>
      </c>
      <c r="DC79" s="212"/>
      <c r="DD79" s="212"/>
      <c r="DE79" s="212"/>
      <c r="DF79" s="212"/>
      <c r="DG79" s="212"/>
      <c r="DH79" s="212"/>
      <c r="DI79" s="212"/>
      <c r="DJ79" s="212"/>
      <c r="DK79" s="218"/>
      <c r="DL79" s="219"/>
      <c r="DM79" s="216"/>
      <c r="DN79" s="154" t="s">
        <v>72</v>
      </c>
      <c r="DO79" s="155" t="str">
        <f>IF(CW21="","N/a",IF(DB45&lt;DB33,'Transition Period Calculations'!Q25,"N/a"))</f>
        <v>N/a</v>
      </c>
      <c r="DP79" s="216"/>
      <c r="DQ79" s="216"/>
      <c r="DR79" s="216"/>
      <c r="DS79" s="216"/>
      <c r="DT79" s="216"/>
      <c r="DU79" s="216"/>
      <c r="DV79" s="216"/>
      <c r="DW79" s="216"/>
      <c r="DX79" s="217"/>
      <c r="EE79" s="211"/>
      <c r="EF79" s="212"/>
      <c r="EG79" s="154" t="s">
        <v>72</v>
      </c>
      <c r="EH79" s="231" t="str">
        <f>IF(EH45&lt;EH33,'Transition Period Calculations'!T25,"N/a")</f>
        <v>N/a</v>
      </c>
      <c r="EI79" s="212"/>
      <c r="EJ79" s="212"/>
      <c r="EK79" s="212"/>
      <c r="EL79" s="212"/>
      <c r="EM79" s="212"/>
      <c r="EN79" s="212"/>
      <c r="EO79" s="212"/>
      <c r="EP79" s="212"/>
      <c r="EQ79" s="218"/>
      <c r="ER79" s="219"/>
      <c r="ES79" s="216"/>
      <c r="ET79" s="154" t="s">
        <v>72</v>
      </c>
      <c r="EU79" s="155" t="str">
        <f>IF(EC21="","N/a",IF(EH45&lt;EH33,'Transition Period Calculations'!U25,"N/a"))</f>
        <v>N/a</v>
      </c>
      <c r="EV79" s="216"/>
      <c r="EW79" s="216"/>
      <c r="EX79" s="216"/>
      <c r="EY79" s="216"/>
      <c r="EZ79" s="216"/>
      <c r="FA79" s="216"/>
      <c r="FB79" s="216"/>
      <c r="FC79" s="216"/>
      <c r="FD79" s="217"/>
    </row>
    <row r="80" spans="3:160" x14ac:dyDescent="0.25">
      <c r="G80" s="211"/>
      <c r="H80" s="212"/>
      <c r="I80" s="154" t="s">
        <v>73</v>
      </c>
      <c r="J80" s="231" t="str">
        <f>IF($J$45&lt;$J$33,'Transition Period Calculations'!D26,"N/a")</f>
        <v>N/a</v>
      </c>
      <c r="K80" s="212"/>
      <c r="L80" s="212"/>
      <c r="M80" s="212"/>
      <c r="N80" s="212"/>
      <c r="O80" s="212"/>
      <c r="P80" s="212"/>
      <c r="Q80" s="212"/>
      <c r="R80" s="212"/>
      <c r="S80" s="218"/>
      <c r="T80" s="219"/>
      <c r="U80" s="216"/>
      <c r="V80" s="154" t="s">
        <v>73</v>
      </c>
      <c r="W80" s="155" t="str">
        <f>IF($E$16="","N/a",IF($J$45&lt;$J$33,'Transition Period Calculations'!E26,"N/a"))</f>
        <v>N/a</v>
      </c>
      <c r="X80" s="216"/>
      <c r="Y80" s="216"/>
      <c r="Z80" s="216"/>
      <c r="AA80" s="216"/>
      <c r="AB80" s="216"/>
      <c r="AC80" s="216"/>
      <c r="AD80" s="216"/>
      <c r="AE80" s="216"/>
      <c r="AF80" s="217"/>
      <c r="AM80" s="211"/>
      <c r="AN80" s="212"/>
      <c r="AO80" s="154" t="s">
        <v>73</v>
      </c>
      <c r="AP80" s="231">
        <f>IF(AP45&lt;AP33,'Transition Period Calculations'!H26,"N/a")</f>
        <v>6.9767191970379692</v>
      </c>
      <c r="AQ80" s="212"/>
      <c r="AR80" s="212"/>
      <c r="AS80" s="212"/>
      <c r="AT80" s="212"/>
      <c r="AU80" s="212"/>
      <c r="AV80" s="212"/>
      <c r="AW80" s="212"/>
      <c r="AX80" s="212"/>
      <c r="AY80" s="218"/>
      <c r="AZ80" s="219"/>
      <c r="BA80" s="216"/>
      <c r="BB80" s="154" t="s">
        <v>73</v>
      </c>
      <c r="BC80" s="155">
        <f>IF(AK21="","N/a",IF(AP45&lt;AP33,'Transition Period Calculations'!I26,"N/a"))</f>
        <v>69.767191970379685</v>
      </c>
      <c r="BD80" s="216"/>
      <c r="BE80" s="216"/>
      <c r="BF80" s="216"/>
      <c r="BG80" s="216"/>
      <c r="BH80" s="216"/>
      <c r="BI80" s="216"/>
      <c r="BJ80" s="216"/>
      <c r="BK80" s="216"/>
      <c r="BL80" s="217"/>
      <c r="BS80" s="211"/>
      <c r="BT80" s="212"/>
      <c r="BU80" s="154" t="s">
        <v>73</v>
      </c>
      <c r="BV80" s="231" t="str">
        <f>IF(BV45&lt;BV33,'Transition Period Calculations'!L26,"N/a")</f>
        <v>N/a</v>
      </c>
      <c r="BW80" s="212"/>
      <c r="BX80" s="212"/>
      <c r="BY80" s="212"/>
      <c r="BZ80" s="212"/>
      <c r="CA80" s="212"/>
      <c r="CB80" s="212"/>
      <c r="CC80" s="212"/>
      <c r="CD80" s="212"/>
      <c r="CE80" s="218"/>
      <c r="CF80" s="219"/>
      <c r="CG80" s="216"/>
      <c r="CH80" s="154" t="s">
        <v>73</v>
      </c>
      <c r="CI80" s="155" t="str">
        <f>IF(BQ21="","N/a",IF(BV45&lt;BV33,'Transition Period Calculations'!M26,"N/a"))</f>
        <v>N/a</v>
      </c>
      <c r="CJ80" s="216"/>
      <c r="CK80" s="216"/>
      <c r="CL80" s="216"/>
      <c r="CM80" s="216"/>
      <c r="CN80" s="216"/>
      <c r="CO80" s="216"/>
      <c r="CP80" s="216"/>
      <c r="CQ80" s="216"/>
      <c r="CR80" s="217"/>
      <c r="CY80" s="211"/>
      <c r="CZ80" s="212"/>
      <c r="DA80" s="154" t="s">
        <v>73</v>
      </c>
      <c r="DB80" s="231" t="str">
        <f>IF(DB45&lt;DB33,'Transition Period Calculations'!P26,"N/a")</f>
        <v>N/a</v>
      </c>
      <c r="DC80" s="212"/>
      <c r="DD80" s="212"/>
      <c r="DE80" s="212"/>
      <c r="DF80" s="212"/>
      <c r="DG80" s="212"/>
      <c r="DH80" s="212"/>
      <c r="DI80" s="212"/>
      <c r="DJ80" s="212"/>
      <c r="DK80" s="218"/>
      <c r="DL80" s="219"/>
      <c r="DM80" s="216"/>
      <c r="DN80" s="154" t="s">
        <v>73</v>
      </c>
      <c r="DO80" s="155" t="str">
        <f>IF(CW21="","N/a",IF(DB45&lt;DB33,'Transition Period Calculations'!Q26,"N/a"))</f>
        <v>N/a</v>
      </c>
      <c r="DP80" s="216"/>
      <c r="DQ80" s="216"/>
      <c r="DR80" s="216"/>
      <c r="DS80" s="216"/>
      <c r="DT80" s="216"/>
      <c r="DU80" s="216"/>
      <c r="DV80" s="216"/>
      <c r="DW80" s="216"/>
      <c r="DX80" s="217"/>
      <c r="EE80" s="211"/>
      <c r="EF80" s="212"/>
      <c r="EG80" s="154" t="s">
        <v>73</v>
      </c>
      <c r="EH80" s="231" t="str">
        <f>IF(EH45&lt;EH33,'Transition Period Calculations'!T26,"N/a")</f>
        <v>N/a</v>
      </c>
      <c r="EI80" s="212"/>
      <c r="EJ80" s="212"/>
      <c r="EK80" s="212"/>
      <c r="EL80" s="212"/>
      <c r="EM80" s="212"/>
      <c r="EN80" s="212"/>
      <c r="EO80" s="212"/>
      <c r="EP80" s="212"/>
      <c r="EQ80" s="218"/>
      <c r="ER80" s="219"/>
      <c r="ES80" s="216"/>
      <c r="ET80" s="154" t="s">
        <v>73</v>
      </c>
      <c r="EU80" s="155" t="str">
        <f>IF(EC21="","N/a",IF(EH45&lt;EH33,'Transition Period Calculations'!U26,"N/a"))</f>
        <v>N/a</v>
      </c>
      <c r="EV80" s="216"/>
      <c r="EW80" s="216"/>
      <c r="EX80" s="216"/>
      <c r="EY80" s="216"/>
      <c r="EZ80" s="216"/>
      <c r="FA80" s="216"/>
      <c r="FB80" s="216"/>
      <c r="FC80" s="216"/>
      <c r="FD80" s="217"/>
    </row>
    <row r="81" spans="7:160" ht="15.75" thickBot="1" x14ac:dyDescent="0.3">
      <c r="G81" s="211"/>
      <c r="H81" s="212"/>
      <c r="I81" s="225" t="s">
        <v>74</v>
      </c>
      <c r="J81" s="232" t="str">
        <f>IF($J$45&lt;$J$33,'Transition Period Calculations'!D27,"N/a")</f>
        <v>N/a</v>
      </c>
      <c r="K81" s="233"/>
      <c r="L81" s="212"/>
      <c r="M81" s="212"/>
      <c r="N81" s="212"/>
      <c r="O81" s="212"/>
      <c r="P81" s="212"/>
      <c r="Q81" s="212"/>
      <c r="R81" s="212"/>
      <c r="S81" s="218"/>
      <c r="T81" s="219"/>
      <c r="U81" s="216"/>
      <c r="V81" s="225" t="s">
        <v>74</v>
      </c>
      <c r="W81" s="226" t="str">
        <f>IF($E$16="","N/a",IF($J$45&lt;$J$33,'Transition Period Calculations'!E27,"N/a"))</f>
        <v>N/a</v>
      </c>
      <c r="X81" s="234"/>
      <c r="Y81" s="216"/>
      <c r="Z81" s="216"/>
      <c r="AA81" s="216"/>
      <c r="AB81" s="216"/>
      <c r="AC81" s="216"/>
      <c r="AD81" s="216"/>
      <c r="AE81" s="216"/>
      <c r="AF81" s="217"/>
      <c r="AM81" s="211"/>
      <c r="AN81" s="212"/>
      <c r="AO81" s="225" t="s">
        <v>74</v>
      </c>
      <c r="AP81" s="232">
        <f>IF(AP45&lt;AP33,'Transition Period Calculations'!H27,"N/a")</f>
        <v>5.8468096732284449</v>
      </c>
      <c r="AQ81" s="233"/>
      <c r="AR81" s="212"/>
      <c r="AS81" s="212"/>
      <c r="AT81" s="212"/>
      <c r="AU81" s="212"/>
      <c r="AV81" s="212"/>
      <c r="AW81" s="212"/>
      <c r="AX81" s="212"/>
      <c r="AY81" s="218"/>
      <c r="AZ81" s="219"/>
      <c r="BA81" s="216"/>
      <c r="BB81" s="225" t="s">
        <v>74</v>
      </c>
      <c r="BC81" s="226">
        <f>IF(AK21="","N/a",IF(AP45&lt;AP33,'Transition Period Calculations'!I27,"N/a"))</f>
        <v>58.468096732284451</v>
      </c>
      <c r="BD81" s="234"/>
      <c r="BE81" s="216"/>
      <c r="BF81" s="216"/>
      <c r="BG81" s="216"/>
      <c r="BH81" s="216"/>
      <c r="BI81" s="216"/>
      <c r="BJ81" s="216"/>
      <c r="BK81" s="216"/>
      <c r="BL81" s="217"/>
      <c r="BS81" s="211"/>
      <c r="BT81" s="212"/>
      <c r="BU81" s="225" t="s">
        <v>74</v>
      </c>
      <c r="BV81" s="232" t="str">
        <f>IF(BV45&lt;BV33,'Transition Period Calculations'!L27,"N/a")</f>
        <v>N/a</v>
      </c>
      <c r="BW81" s="233"/>
      <c r="BX81" s="212"/>
      <c r="BY81" s="212"/>
      <c r="BZ81" s="212"/>
      <c r="CA81" s="212"/>
      <c r="CB81" s="212"/>
      <c r="CC81" s="212"/>
      <c r="CD81" s="212"/>
      <c r="CE81" s="218"/>
      <c r="CF81" s="219"/>
      <c r="CG81" s="216"/>
      <c r="CH81" s="225" t="s">
        <v>74</v>
      </c>
      <c r="CI81" s="226" t="str">
        <f>IF(BQ21="","N/a",IF(BV45&lt;BV33,'Transition Period Calculations'!M27,"N/a"))</f>
        <v>N/a</v>
      </c>
      <c r="CJ81" s="234"/>
      <c r="CK81" s="216"/>
      <c r="CL81" s="216"/>
      <c r="CM81" s="216"/>
      <c r="CN81" s="216"/>
      <c r="CO81" s="216"/>
      <c r="CP81" s="216"/>
      <c r="CQ81" s="216"/>
      <c r="CR81" s="217"/>
      <c r="CY81" s="211"/>
      <c r="CZ81" s="212"/>
      <c r="DA81" s="225" t="s">
        <v>74</v>
      </c>
      <c r="DB81" s="232" t="str">
        <f>IF(DB45&lt;DB33,'Transition Period Calculations'!P27,"N/a")</f>
        <v>N/a</v>
      </c>
      <c r="DC81" s="233"/>
      <c r="DD81" s="212"/>
      <c r="DE81" s="212"/>
      <c r="DF81" s="212"/>
      <c r="DG81" s="212"/>
      <c r="DH81" s="212"/>
      <c r="DI81" s="212"/>
      <c r="DJ81" s="212"/>
      <c r="DK81" s="218"/>
      <c r="DL81" s="219"/>
      <c r="DM81" s="216"/>
      <c r="DN81" s="225" t="s">
        <v>74</v>
      </c>
      <c r="DO81" s="226" t="str">
        <f>IF(CW21="","N/a",IF(DB45&lt;DB33,'Transition Period Calculations'!Q27,"N/a"))</f>
        <v>N/a</v>
      </c>
      <c r="DP81" s="234"/>
      <c r="DQ81" s="216"/>
      <c r="DR81" s="216"/>
      <c r="DS81" s="216"/>
      <c r="DT81" s="216"/>
      <c r="DU81" s="216"/>
      <c r="DV81" s="216"/>
      <c r="DW81" s="216"/>
      <c r="DX81" s="217"/>
      <c r="EE81" s="211"/>
      <c r="EF81" s="212"/>
      <c r="EG81" s="225" t="s">
        <v>74</v>
      </c>
      <c r="EH81" s="232" t="str">
        <f>IF(EH45&lt;EH33,'Transition Period Calculations'!T27,"N/a")</f>
        <v>N/a</v>
      </c>
      <c r="EI81" s="233"/>
      <c r="EJ81" s="212"/>
      <c r="EK81" s="212"/>
      <c r="EL81" s="212"/>
      <c r="EM81" s="212"/>
      <c r="EN81" s="212"/>
      <c r="EO81" s="212"/>
      <c r="EP81" s="212"/>
      <c r="EQ81" s="218"/>
      <c r="ER81" s="219"/>
      <c r="ES81" s="216"/>
      <c r="ET81" s="225" t="s">
        <v>74</v>
      </c>
      <c r="EU81" s="226" t="str">
        <f>IF(EC21="","N/a",IF(EH45&lt;EH33,'Transition Period Calculations'!U27,"N/a"))</f>
        <v>N/a</v>
      </c>
      <c r="EV81" s="234"/>
      <c r="EW81" s="216"/>
      <c r="EX81" s="216"/>
      <c r="EY81" s="216"/>
      <c r="EZ81" s="216"/>
      <c r="FA81" s="216"/>
      <c r="FB81" s="216"/>
      <c r="FC81" s="216"/>
      <c r="FD81" s="217"/>
    </row>
    <row r="82" spans="7:160" x14ac:dyDescent="0.25">
      <c r="G82" s="211"/>
      <c r="H82" s="212"/>
      <c r="I82" s="212"/>
      <c r="J82" s="228"/>
      <c r="K82" s="212"/>
      <c r="L82" s="212"/>
      <c r="M82" s="212" t="str">
        <f>E41</f>
        <v>Near-natural Fen</v>
      </c>
      <c r="N82" s="221" t="str">
        <f>IF($J$45&lt;$J$33,J48,"N/a")</f>
        <v>N/a</v>
      </c>
      <c r="O82" s="212"/>
      <c r="P82" s="212"/>
      <c r="Q82" s="212"/>
      <c r="R82" s="212"/>
      <c r="S82" s="218"/>
      <c r="T82" s="219"/>
      <c r="U82" s="216"/>
      <c r="V82" s="216"/>
      <c r="W82" s="229"/>
      <c r="X82" s="216"/>
      <c r="Y82" s="216" t="str">
        <f>E41</f>
        <v>Near-natural Fen</v>
      </c>
      <c r="Z82" s="222" t="str">
        <f>IF($E$16="","N/a",IF($J$45&lt;$J$33,W48,"N/a"))</f>
        <v>N/a</v>
      </c>
      <c r="AA82" s="216"/>
      <c r="AB82" s="216"/>
      <c r="AC82" s="216"/>
      <c r="AD82" s="216"/>
      <c r="AE82" s="216"/>
      <c r="AF82" s="217"/>
      <c r="AM82" s="211"/>
      <c r="AN82" s="212"/>
      <c r="AO82" s="212"/>
      <c r="AP82" s="228"/>
      <c r="AQ82" s="212"/>
      <c r="AR82" s="212"/>
      <c r="AS82" s="212" t="str">
        <f>AK41</f>
        <v>Re-wetted Fen</v>
      </c>
      <c r="AT82" s="221">
        <f>IF(AP45&lt;AP33,AP48,"N/a")</f>
        <v>4.7169001494189224</v>
      </c>
      <c r="AU82" s="212"/>
      <c r="AV82" s="212"/>
      <c r="AW82" s="212"/>
      <c r="AX82" s="212"/>
      <c r="AY82" s="218"/>
      <c r="AZ82" s="219"/>
      <c r="BA82" s="216"/>
      <c r="BB82" s="216"/>
      <c r="BC82" s="229"/>
      <c r="BD82" s="216"/>
      <c r="BE82" s="216" t="str">
        <f>AK41</f>
        <v>Re-wetted Fen</v>
      </c>
      <c r="BF82" s="222">
        <f>IF(AK21="","N/a",IF(AP45&lt;AP33,BC48,"N/a"))</f>
        <v>47.169001494189224</v>
      </c>
      <c r="BG82" s="216"/>
      <c r="BH82" s="216"/>
      <c r="BI82" s="216"/>
      <c r="BJ82" s="216"/>
      <c r="BK82" s="216"/>
      <c r="BL82" s="217"/>
      <c r="BS82" s="211"/>
      <c r="BT82" s="212"/>
      <c r="BU82" s="212"/>
      <c r="BV82" s="228"/>
      <c r="BW82" s="212"/>
      <c r="BX82" s="212"/>
      <c r="BY82" s="212">
        <f>BQ41</f>
        <v>0</v>
      </c>
      <c r="BZ82" s="221" t="str">
        <f>IF(BV45&lt;BV33,BV48,"N/a")</f>
        <v>N/a</v>
      </c>
      <c r="CA82" s="212"/>
      <c r="CB82" s="212"/>
      <c r="CC82" s="212"/>
      <c r="CD82" s="212"/>
      <c r="CE82" s="218"/>
      <c r="CF82" s="219"/>
      <c r="CG82" s="216"/>
      <c r="CH82" s="216"/>
      <c r="CI82" s="229"/>
      <c r="CJ82" s="216"/>
      <c r="CK82" s="216">
        <f>BQ41</f>
        <v>0</v>
      </c>
      <c r="CL82" s="222" t="str">
        <f>IF(BQ21="","N/a",IF(BV45&lt;BV33,CI48,"N/a"))</f>
        <v>N/a</v>
      </c>
      <c r="CM82" s="216"/>
      <c r="CN82" s="216"/>
      <c r="CO82" s="216"/>
      <c r="CP82" s="216"/>
      <c r="CQ82" s="216"/>
      <c r="CR82" s="217"/>
      <c r="CY82" s="211"/>
      <c r="CZ82" s="212"/>
      <c r="DA82" s="212"/>
      <c r="DB82" s="228"/>
      <c r="DC82" s="212"/>
      <c r="DD82" s="212"/>
      <c r="DE82" s="212">
        <f>CW41</f>
        <v>0</v>
      </c>
      <c r="DF82" s="221" t="str">
        <f>IF(DB45&lt;DB33,DB48,"N/a")</f>
        <v>N/a</v>
      </c>
      <c r="DG82" s="212"/>
      <c r="DH82" s="212"/>
      <c r="DI82" s="212"/>
      <c r="DJ82" s="212"/>
      <c r="DK82" s="218"/>
      <c r="DL82" s="219"/>
      <c r="DM82" s="216"/>
      <c r="DN82" s="216"/>
      <c r="DO82" s="229"/>
      <c r="DP82" s="216"/>
      <c r="DQ82" s="216">
        <f>CW41</f>
        <v>0</v>
      </c>
      <c r="DR82" s="222" t="str">
        <f>IF(CW21="","N/a",IF(DB45&lt;DB33,DO48,"N/a"))</f>
        <v>N/a</v>
      </c>
      <c r="DS82" s="216"/>
      <c r="DT82" s="216"/>
      <c r="DU82" s="216"/>
      <c r="DV82" s="216"/>
      <c r="DW82" s="216"/>
      <c r="DX82" s="217"/>
      <c r="EE82" s="211"/>
      <c r="EF82" s="212"/>
      <c r="EG82" s="212"/>
      <c r="EH82" s="228"/>
      <c r="EI82" s="212"/>
      <c r="EJ82" s="212"/>
      <c r="EK82" s="212">
        <f>EC41</f>
        <v>0</v>
      </c>
      <c r="EL82" s="221" t="str">
        <f>IF(EH45&lt;EH33,EH48,"N/a")</f>
        <v>N/a</v>
      </c>
      <c r="EM82" s="212"/>
      <c r="EN82" s="212"/>
      <c r="EO82" s="212"/>
      <c r="EP82" s="212"/>
      <c r="EQ82" s="218"/>
      <c r="ER82" s="219"/>
      <c r="ES82" s="216"/>
      <c r="ET82" s="216"/>
      <c r="EU82" s="229"/>
      <c r="EV82" s="216"/>
      <c r="EW82" s="216">
        <f>EC41</f>
        <v>0</v>
      </c>
      <c r="EX82" s="222" t="str">
        <f>IF(EC21="","N/a",IF(EH45&lt;EH33,EU48,"N/a"))</f>
        <v>N/a</v>
      </c>
      <c r="EY82" s="216"/>
      <c r="EZ82" s="216"/>
      <c r="FA82" s="216"/>
      <c r="FB82" s="216"/>
      <c r="FC82" s="216"/>
      <c r="FD82" s="217"/>
    </row>
    <row r="83" spans="7:160" x14ac:dyDescent="0.25">
      <c r="G83" s="211"/>
      <c r="H83" s="212"/>
      <c r="I83" s="212"/>
      <c r="J83" s="212"/>
      <c r="K83" s="212"/>
      <c r="L83" s="212"/>
      <c r="M83" s="212"/>
      <c r="N83" s="212"/>
      <c r="O83" s="212"/>
      <c r="P83" s="212"/>
      <c r="Q83" s="212"/>
      <c r="R83" s="212"/>
      <c r="S83" s="218"/>
      <c r="T83" s="219"/>
      <c r="U83" s="216"/>
      <c r="V83" s="216"/>
      <c r="W83" s="216"/>
      <c r="X83" s="216"/>
      <c r="Y83" s="216"/>
      <c r="Z83" s="216"/>
      <c r="AA83" s="216"/>
      <c r="AB83" s="216"/>
      <c r="AC83" s="216"/>
      <c r="AD83" s="216"/>
      <c r="AE83" s="216"/>
      <c r="AF83" s="217"/>
      <c r="AM83" s="211"/>
      <c r="AN83" s="212"/>
      <c r="AO83" s="212"/>
      <c r="AP83" s="212"/>
      <c r="AQ83" s="212"/>
      <c r="AR83" s="212"/>
      <c r="AS83" s="212"/>
      <c r="AT83" s="212"/>
      <c r="AU83" s="212"/>
      <c r="AV83" s="212"/>
      <c r="AW83" s="212"/>
      <c r="AX83" s="212"/>
      <c r="AY83" s="218"/>
      <c r="AZ83" s="219"/>
      <c r="BA83" s="216"/>
      <c r="BB83" s="216"/>
      <c r="BC83" s="216"/>
      <c r="BD83" s="216"/>
      <c r="BE83" s="216"/>
      <c r="BF83" s="216"/>
      <c r="BG83" s="216"/>
      <c r="BH83" s="216"/>
      <c r="BI83" s="216"/>
      <c r="BJ83" s="216"/>
      <c r="BK83" s="216"/>
      <c r="BL83" s="217"/>
      <c r="BS83" s="211"/>
      <c r="BT83" s="212"/>
      <c r="BU83" s="212"/>
      <c r="BV83" s="212"/>
      <c r="BW83" s="212"/>
      <c r="BX83" s="212"/>
      <c r="BY83" s="212"/>
      <c r="BZ83" s="212"/>
      <c r="CA83" s="212"/>
      <c r="CB83" s="212"/>
      <c r="CC83" s="212"/>
      <c r="CD83" s="212"/>
      <c r="CE83" s="218"/>
      <c r="CF83" s="219"/>
      <c r="CG83" s="216"/>
      <c r="CH83" s="216"/>
      <c r="CI83" s="216"/>
      <c r="CJ83" s="216"/>
      <c r="CK83" s="216"/>
      <c r="CL83" s="216"/>
      <c r="CM83" s="216"/>
      <c r="CN83" s="216"/>
      <c r="CO83" s="216"/>
      <c r="CP83" s="216"/>
      <c r="CQ83" s="216"/>
      <c r="CR83" s="217"/>
      <c r="CY83" s="211"/>
      <c r="CZ83" s="212"/>
      <c r="DA83" s="212"/>
      <c r="DB83" s="212"/>
      <c r="DC83" s="212"/>
      <c r="DD83" s="212"/>
      <c r="DE83" s="212"/>
      <c r="DF83" s="212"/>
      <c r="DG83" s="212"/>
      <c r="DH83" s="212"/>
      <c r="DI83" s="212"/>
      <c r="DJ83" s="212"/>
      <c r="DK83" s="218"/>
      <c r="DL83" s="219"/>
      <c r="DM83" s="216"/>
      <c r="DN83" s="216"/>
      <c r="DO83" s="216"/>
      <c r="DP83" s="216"/>
      <c r="DQ83" s="216"/>
      <c r="DR83" s="216"/>
      <c r="DS83" s="216"/>
      <c r="DT83" s="216"/>
      <c r="DU83" s="216"/>
      <c r="DV83" s="216"/>
      <c r="DW83" s="216"/>
      <c r="DX83" s="217"/>
      <c r="EE83" s="211"/>
      <c r="EF83" s="212"/>
      <c r="EG83" s="212"/>
      <c r="EH83" s="212"/>
      <c r="EI83" s="212"/>
      <c r="EJ83" s="212"/>
      <c r="EK83" s="212"/>
      <c r="EL83" s="212"/>
      <c r="EM83" s="212"/>
      <c r="EN83" s="212"/>
      <c r="EO83" s="212"/>
      <c r="EP83" s="212"/>
      <c r="EQ83" s="218"/>
      <c r="ER83" s="219"/>
      <c r="ES83" s="216"/>
      <c r="ET83" s="216"/>
      <c r="EU83" s="216"/>
      <c r="EV83" s="216"/>
      <c r="EW83" s="216"/>
      <c r="EX83" s="216"/>
      <c r="EY83" s="216"/>
      <c r="EZ83" s="216"/>
      <c r="FA83" s="216"/>
      <c r="FB83" s="216"/>
      <c r="FC83" s="216"/>
      <c r="FD83" s="217"/>
    </row>
    <row r="84" spans="7:160" x14ac:dyDescent="0.25">
      <c r="G84" s="211"/>
      <c r="H84" s="212"/>
      <c r="I84" s="212"/>
      <c r="J84" s="212"/>
      <c r="K84" s="212"/>
      <c r="L84" s="212"/>
      <c r="M84" s="212"/>
      <c r="N84" s="212"/>
      <c r="O84" s="212"/>
      <c r="P84" s="212"/>
      <c r="Q84" s="212"/>
      <c r="R84" s="212"/>
      <c r="S84" s="218"/>
      <c r="T84" s="219"/>
      <c r="U84" s="216"/>
      <c r="V84" s="216"/>
      <c r="W84" s="216"/>
      <c r="X84" s="216"/>
      <c r="Y84" s="216"/>
      <c r="Z84" s="216"/>
      <c r="AA84" s="216"/>
      <c r="AB84" s="216"/>
      <c r="AC84" s="216"/>
      <c r="AD84" s="216"/>
      <c r="AE84" s="216"/>
      <c r="AF84" s="217"/>
      <c r="AM84" s="211"/>
      <c r="AN84" s="212"/>
      <c r="AO84" s="212"/>
      <c r="AP84" s="212"/>
      <c r="AQ84" s="212"/>
      <c r="AR84" s="212"/>
      <c r="AS84" s="212"/>
      <c r="AT84" s="212"/>
      <c r="AU84" s="212"/>
      <c r="AV84" s="212"/>
      <c r="AW84" s="212"/>
      <c r="AX84" s="212"/>
      <c r="AY84" s="218"/>
      <c r="AZ84" s="219"/>
      <c r="BA84" s="216"/>
      <c r="BB84" s="216"/>
      <c r="BC84" s="216"/>
      <c r="BD84" s="216"/>
      <c r="BE84" s="216"/>
      <c r="BF84" s="216"/>
      <c r="BG84" s="216"/>
      <c r="BH84" s="216"/>
      <c r="BI84" s="216"/>
      <c r="BJ84" s="216"/>
      <c r="BK84" s="216"/>
      <c r="BL84" s="217"/>
      <c r="BS84" s="211"/>
      <c r="BT84" s="212"/>
      <c r="BU84" s="212"/>
      <c r="BV84" s="212"/>
      <c r="BW84" s="212"/>
      <c r="BX84" s="212"/>
      <c r="BY84" s="212"/>
      <c r="BZ84" s="212"/>
      <c r="CA84" s="212"/>
      <c r="CB84" s="212"/>
      <c r="CC84" s="212"/>
      <c r="CD84" s="212"/>
      <c r="CE84" s="218"/>
      <c r="CF84" s="219"/>
      <c r="CG84" s="216"/>
      <c r="CH84" s="216"/>
      <c r="CI84" s="216"/>
      <c r="CJ84" s="216"/>
      <c r="CK84" s="216"/>
      <c r="CL84" s="216"/>
      <c r="CM84" s="216"/>
      <c r="CN84" s="216"/>
      <c r="CO84" s="216"/>
      <c r="CP84" s="216"/>
      <c r="CQ84" s="216"/>
      <c r="CR84" s="217"/>
      <c r="CY84" s="211"/>
      <c r="CZ84" s="212"/>
      <c r="DA84" s="212"/>
      <c r="DB84" s="212"/>
      <c r="DC84" s="212"/>
      <c r="DD84" s="212"/>
      <c r="DE84" s="212"/>
      <c r="DF84" s="212"/>
      <c r="DG84" s="212"/>
      <c r="DH84" s="212"/>
      <c r="DI84" s="212"/>
      <c r="DJ84" s="212"/>
      <c r="DK84" s="218"/>
      <c r="DL84" s="219"/>
      <c r="DM84" s="216"/>
      <c r="DN84" s="216"/>
      <c r="DO84" s="216"/>
      <c r="DP84" s="216"/>
      <c r="DQ84" s="216"/>
      <c r="DR84" s="216"/>
      <c r="DS84" s="216"/>
      <c r="DT84" s="216"/>
      <c r="DU84" s="216"/>
      <c r="DV84" s="216"/>
      <c r="DW84" s="216"/>
      <c r="DX84" s="217"/>
      <c r="EE84" s="211"/>
      <c r="EF84" s="212"/>
      <c r="EG84" s="212"/>
      <c r="EH84" s="212"/>
      <c r="EI84" s="212"/>
      <c r="EJ84" s="212"/>
      <c r="EK84" s="212"/>
      <c r="EL84" s="212"/>
      <c r="EM84" s="212"/>
      <c r="EN84" s="212"/>
      <c r="EO84" s="212"/>
      <c r="EP84" s="212"/>
      <c r="EQ84" s="218"/>
      <c r="ER84" s="219"/>
      <c r="ES84" s="216"/>
      <c r="ET84" s="216"/>
      <c r="EU84" s="216"/>
      <c r="EV84" s="216"/>
      <c r="EW84" s="216"/>
      <c r="EX84" s="216"/>
      <c r="EY84" s="216"/>
      <c r="EZ84" s="216"/>
      <c r="FA84" s="216"/>
      <c r="FB84" s="216"/>
      <c r="FC84" s="216"/>
      <c r="FD84" s="217"/>
    </row>
    <row r="85" spans="7:160" ht="15.75" thickBot="1" x14ac:dyDescent="0.3">
      <c r="G85" s="235"/>
      <c r="H85" s="236"/>
      <c r="I85" s="236"/>
      <c r="J85" s="236"/>
      <c r="K85" s="236"/>
      <c r="L85" s="236"/>
      <c r="M85" s="236"/>
      <c r="N85" s="236"/>
      <c r="O85" s="236"/>
      <c r="P85" s="236"/>
      <c r="Q85" s="236"/>
      <c r="R85" s="236"/>
      <c r="S85" s="237"/>
      <c r="T85" s="238"/>
      <c r="U85" s="239"/>
      <c r="V85" s="239"/>
      <c r="W85" s="239"/>
      <c r="X85" s="239"/>
      <c r="Y85" s="239"/>
      <c r="Z85" s="239"/>
      <c r="AA85" s="239"/>
      <c r="AB85" s="239"/>
      <c r="AC85" s="239"/>
      <c r="AD85" s="239"/>
      <c r="AE85" s="239"/>
      <c r="AF85" s="240"/>
      <c r="AM85" s="235"/>
      <c r="AN85" s="236"/>
      <c r="AO85" s="236"/>
      <c r="AP85" s="236"/>
      <c r="AQ85" s="236"/>
      <c r="AR85" s="236"/>
      <c r="AS85" s="236"/>
      <c r="AT85" s="236"/>
      <c r="AU85" s="236"/>
      <c r="AV85" s="236"/>
      <c r="AW85" s="236"/>
      <c r="AX85" s="236"/>
      <c r="AY85" s="237"/>
      <c r="AZ85" s="238"/>
      <c r="BA85" s="239"/>
      <c r="BB85" s="239"/>
      <c r="BC85" s="239"/>
      <c r="BD85" s="239"/>
      <c r="BE85" s="239"/>
      <c r="BF85" s="239"/>
      <c r="BG85" s="239"/>
      <c r="BH85" s="239"/>
      <c r="BI85" s="239"/>
      <c r="BJ85" s="239"/>
      <c r="BK85" s="239"/>
      <c r="BL85" s="240"/>
      <c r="BS85" s="235"/>
      <c r="BT85" s="236"/>
      <c r="BU85" s="236"/>
      <c r="BV85" s="236"/>
      <c r="BW85" s="236"/>
      <c r="BX85" s="236"/>
      <c r="BY85" s="236"/>
      <c r="BZ85" s="236"/>
      <c r="CA85" s="236"/>
      <c r="CB85" s="236"/>
      <c r="CC85" s="236"/>
      <c r="CD85" s="236"/>
      <c r="CE85" s="237"/>
      <c r="CF85" s="238"/>
      <c r="CG85" s="239"/>
      <c r="CH85" s="239"/>
      <c r="CI85" s="239"/>
      <c r="CJ85" s="239"/>
      <c r="CK85" s="239"/>
      <c r="CL85" s="239"/>
      <c r="CM85" s="239"/>
      <c r="CN85" s="239"/>
      <c r="CO85" s="239"/>
      <c r="CP85" s="239"/>
      <c r="CQ85" s="239"/>
      <c r="CR85" s="240"/>
      <c r="CY85" s="235"/>
      <c r="CZ85" s="236"/>
      <c r="DA85" s="236"/>
      <c r="DB85" s="236"/>
      <c r="DC85" s="236"/>
      <c r="DD85" s="236"/>
      <c r="DE85" s="236"/>
      <c r="DF85" s="236"/>
      <c r="DG85" s="236"/>
      <c r="DH85" s="236"/>
      <c r="DI85" s="236"/>
      <c r="DJ85" s="236"/>
      <c r="DK85" s="237"/>
      <c r="DL85" s="238"/>
      <c r="DM85" s="239"/>
      <c r="DN85" s="239"/>
      <c r="DO85" s="239"/>
      <c r="DP85" s="239"/>
      <c r="DQ85" s="239"/>
      <c r="DR85" s="239"/>
      <c r="DS85" s="239"/>
      <c r="DT85" s="239"/>
      <c r="DU85" s="239"/>
      <c r="DV85" s="239"/>
      <c r="DW85" s="239"/>
      <c r="DX85" s="240"/>
      <c r="EE85" s="235"/>
      <c r="EF85" s="236"/>
      <c r="EG85" s="236"/>
      <c r="EH85" s="236"/>
      <c r="EI85" s="236"/>
      <c r="EJ85" s="236"/>
      <c r="EK85" s="236"/>
      <c r="EL85" s="236"/>
      <c r="EM85" s="236"/>
      <c r="EN85" s="236"/>
      <c r="EO85" s="236"/>
      <c r="EP85" s="236"/>
      <c r="EQ85" s="237"/>
      <c r="ER85" s="238"/>
      <c r="ES85" s="239"/>
      <c r="ET85" s="239"/>
      <c r="EU85" s="239"/>
      <c r="EV85" s="239"/>
      <c r="EW85" s="239"/>
      <c r="EX85" s="239"/>
      <c r="EY85" s="239"/>
      <c r="EZ85" s="239"/>
      <c r="FA85" s="239"/>
      <c r="FB85" s="239"/>
      <c r="FC85" s="239"/>
      <c r="FD85" s="240"/>
    </row>
    <row r="86" spans="7:160" ht="15.75" thickBot="1" x14ac:dyDescent="0.3">
      <c r="G86" s="241"/>
      <c r="H86" s="242"/>
      <c r="I86" s="242"/>
      <c r="J86" s="242"/>
      <c r="K86" s="242"/>
      <c r="L86" s="242"/>
      <c r="M86" s="242"/>
      <c r="N86" s="242"/>
      <c r="O86" s="242"/>
      <c r="P86" s="242"/>
      <c r="Q86" s="242"/>
      <c r="R86" s="242"/>
      <c r="S86" s="243"/>
      <c r="T86" s="244"/>
      <c r="U86" s="245"/>
      <c r="V86" s="245"/>
      <c r="W86" s="245"/>
      <c r="X86" s="245"/>
      <c r="Y86" s="245"/>
      <c r="Z86" s="245"/>
      <c r="AA86" s="245"/>
      <c r="AB86" s="245"/>
      <c r="AC86" s="245"/>
      <c r="AD86" s="245"/>
      <c r="AE86" s="245"/>
      <c r="AF86" s="246"/>
      <c r="AM86" s="241"/>
      <c r="AN86" s="242"/>
      <c r="AO86" s="242"/>
      <c r="AP86" s="242"/>
      <c r="AQ86" s="242"/>
      <c r="AR86" s="242"/>
      <c r="AS86" s="242"/>
      <c r="AT86" s="242"/>
      <c r="AU86" s="242"/>
      <c r="AV86" s="242"/>
      <c r="AW86" s="242"/>
      <c r="AX86" s="242"/>
      <c r="AY86" s="243"/>
      <c r="AZ86" s="244"/>
      <c r="BA86" s="245"/>
      <c r="BB86" s="245"/>
      <c r="BC86" s="245"/>
      <c r="BD86" s="245"/>
      <c r="BE86" s="245"/>
      <c r="BF86" s="245"/>
      <c r="BG86" s="245"/>
      <c r="BH86" s="245"/>
      <c r="BI86" s="245"/>
      <c r="BJ86" s="245"/>
      <c r="BK86" s="245"/>
      <c r="BL86" s="246"/>
      <c r="BS86" s="241"/>
      <c r="BT86" s="242"/>
      <c r="BU86" s="242"/>
      <c r="BV86" s="242"/>
      <c r="BW86" s="242"/>
      <c r="BX86" s="242"/>
      <c r="BY86" s="242"/>
      <c r="BZ86" s="242"/>
      <c r="CA86" s="242"/>
      <c r="CB86" s="242"/>
      <c r="CC86" s="242"/>
      <c r="CD86" s="242"/>
      <c r="CE86" s="243"/>
      <c r="CF86" s="244"/>
      <c r="CG86" s="245"/>
      <c r="CH86" s="245"/>
      <c r="CI86" s="245"/>
      <c r="CJ86" s="245"/>
      <c r="CK86" s="245"/>
      <c r="CL86" s="245"/>
      <c r="CM86" s="245"/>
      <c r="CN86" s="245"/>
      <c r="CO86" s="245"/>
      <c r="CP86" s="245"/>
      <c r="CQ86" s="245"/>
      <c r="CR86" s="246"/>
      <c r="CY86" s="241"/>
      <c r="CZ86" s="242"/>
      <c r="DA86" s="242"/>
      <c r="DB86" s="242"/>
      <c r="DC86" s="242"/>
      <c r="DD86" s="242"/>
      <c r="DE86" s="242"/>
      <c r="DF86" s="242"/>
      <c r="DG86" s="242"/>
      <c r="DH86" s="242"/>
      <c r="DI86" s="242"/>
      <c r="DJ86" s="242"/>
      <c r="DK86" s="243"/>
      <c r="DL86" s="244"/>
      <c r="DM86" s="245"/>
      <c r="DN86" s="245"/>
      <c r="DO86" s="245"/>
      <c r="DP86" s="245"/>
      <c r="DQ86" s="245"/>
      <c r="DR86" s="245"/>
      <c r="DS86" s="245"/>
      <c r="DT86" s="245"/>
      <c r="DU86" s="245"/>
      <c r="DV86" s="245"/>
      <c r="DW86" s="245"/>
      <c r="DX86" s="246"/>
      <c r="EE86" s="241"/>
      <c r="EF86" s="242"/>
      <c r="EG86" s="242"/>
      <c r="EH86" s="242"/>
      <c r="EI86" s="242"/>
      <c r="EJ86" s="242"/>
      <c r="EK86" s="242"/>
      <c r="EL86" s="242"/>
      <c r="EM86" s="242"/>
      <c r="EN86" s="242"/>
      <c r="EO86" s="242"/>
      <c r="EP86" s="242"/>
      <c r="EQ86" s="243"/>
      <c r="ER86" s="244"/>
      <c r="ES86" s="245"/>
      <c r="ET86" s="245"/>
      <c r="EU86" s="245"/>
      <c r="EV86" s="245"/>
      <c r="EW86" s="245"/>
      <c r="EX86" s="245"/>
      <c r="EY86" s="245"/>
      <c r="EZ86" s="245"/>
      <c r="FA86" s="245"/>
      <c r="FB86" s="245"/>
      <c r="FC86" s="245"/>
      <c r="FD86" s="246"/>
    </row>
    <row r="87" spans="7:160" ht="21.75" thickBot="1" x14ac:dyDescent="0.4">
      <c r="G87" s="247"/>
      <c r="H87" s="248"/>
      <c r="I87" s="374" t="s">
        <v>77</v>
      </c>
      <c r="J87" s="375"/>
      <c r="K87" s="249"/>
      <c r="L87" s="248"/>
      <c r="M87" s="248"/>
      <c r="N87" s="248"/>
      <c r="O87" s="248"/>
      <c r="P87" s="248"/>
      <c r="Q87" s="248"/>
      <c r="R87" s="249"/>
      <c r="S87" s="250" t="s">
        <v>78</v>
      </c>
      <c r="T87" s="251" t="s">
        <v>29</v>
      </c>
      <c r="U87" s="252"/>
      <c r="V87" s="374" t="str">
        <f>IF($E$16="","Emissions over project duration (AU area)",CONCATENATE("Emissions over project duration (",$E$16," ha)"))</f>
        <v>Emissions over project duration (10 ha)</v>
      </c>
      <c r="W87" s="375"/>
      <c r="X87" s="252"/>
      <c r="Y87" s="252"/>
      <c r="Z87" s="252"/>
      <c r="AA87" s="252"/>
      <c r="AB87" s="252"/>
      <c r="AC87" s="252"/>
      <c r="AD87" s="252"/>
      <c r="AE87" s="252"/>
      <c r="AF87" s="253"/>
      <c r="AM87" s="247"/>
      <c r="AN87" s="248"/>
      <c r="AO87" s="374" t="s">
        <v>77</v>
      </c>
      <c r="AP87" s="375"/>
      <c r="AQ87" s="249"/>
      <c r="AR87" s="248"/>
      <c r="AS87" s="248"/>
      <c r="AT87" s="248"/>
      <c r="AU87" s="248"/>
      <c r="AV87" s="248"/>
      <c r="AW87" s="248"/>
      <c r="AX87" s="249"/>
      <c r="AY87" s="250" t="s">
        <v>78</v>
      </c>
      <c r="AZ87" s="251" t="s">
        <v>29</v>
      </c>
      <c r="BA87" s="252"/>
      <c r="BB87" s="374" t="str">
        <f>IF(AK21="","Emissions over project duration (AU area)",CONCATENATE("Emissions over project duration (",AK21," ha)"))</f>
        <v>Emissions over project duration (10 ha)</v>
      </c>
      <c r="BC87" s="375"/>
      <c r="BD87" s="252"/>
      <c r="BE87" s="252"/>
      <c r="BF87" s="252"/>
      <c r="BG87" s="252"/>
      <c r="BH87" s="252"/>
      <c r="BI87" s="252"/>
      <c r="BJ87" s="252"/>
      <c r="BK87" s="252"/>
      <c r="BL87" s="253"/>
      <c r="BS87" s="247"/>
      <c r="BT87" s="248"/>
      <c r="BU87" s="374" t="s">
        <v>77</v>
      </c>
      <c r="BV87" s="375"/>
      <c r="BW87" s="249"/>
      <c r="BX87" s="248"/>
      <c r="BY87" s="248"/>
      <c r="BZ87" s="248"/>
      <c r="CA87" s="248"/>
      <c r="CB87" s="248"/>
      <c r="CC87" s="248"/>
      <c r="CD87" s="249"/>
      <c r="CE87" s="250" t="s">
        <v>78</v>
      </c>
      <c r="CF87" s="251" t="s">
        <v>29</v>
      </c>
      <c r="CG87" s="252"/>
      <c r="CH87" s="374" t="str">
        <f>IF(BQ21="","Emissions over project duration (AU area)",CONCATENATE("Emissions over project duration (",BQ21," ha)"))</f>
        <v>Emissions over project duration (AU area)</v>
      </c>
      <c r="CI87" s="375"/>
      <c r="CJ87" s="252"/>
      <c r="CK87" s="252"/>
      <c r="CL87" s="252"/>
      <c r="CM87" s="252"/>
      <c r="CN87" s="252"/>
      <c r="CO87" s="252"/>
      <c r="CP87" s="252"/>
      <c r="CQ87" s="252"/>
      <c r="CR87" s="253"/>
      <c r="CY87" s="247"/>
      <c r="CZ87" s="248"/>
      <c r="DA87" s="374" t="s">
        <v>77</v>
      </c>
      <c r="DB87" s="375"/>
      <c r="DC87" s="249"/>
      <c r="DD87" s="248"/>
      <c r="DE87" s="248"/>
      <c r="DF87" s="248"/>
      <c r="DG87" s="248"/>
      <c r="DH87" s="248"/>
      <c r="DI87" s="248"/>
      <c r="DJ87" s="249"/>
      <c r="DK87" s="250" t="s">
        <v>78</v>
      </c>
      <c r="DL87" s="251" t="s">
        <v>29</v>
      </c>
      <c r="DM87" s="252"/>
      <c r="DN87" s="374" t="str">
        <f>IF(CW21="","Emissions over project duration (AU area)",CONCATENATE("Emissions over project duration (",CW21," ha)"))</f>
        <v>Emissions over project duration (AU area)</v>
      </c>
      <c r="DO87" s="375"/>
      <c r="DP87" s="252"/>
      <c r="DQ87" s="252"/>
      <c r="DR87" s="252"/>
      <c r="DS87" s="252"/>
      <c r="DT87" s="252"/>
      <c r="DU87" s="252"/>
      <c r="DV87" s="252"/>
      <c r="DW87" s="252"/>
      <c r="DX87" s="253"/>
      <c r="EE87" s="247"/>
      <c r="EF87" s="248"/>
      <c r="EG87" s="374" t="s">
        <v>77</v>
      </c>
      <c r="EH87" s="375"/>
      <c r="EI87" s="249"/>
      <c r="EJ87" s="248"/>
      <c r="EK87" s="248"/>
      <c r="EL87" s="248"/>
      <c r="EM87" s="248"/>
      <c r="EN87" s="248"/>
      <c r="EO87" s="248"/>
      <c r="EP87" s="249"/>
      <c r="EQ87" s="250" t="s">
        <v>78</v>
      </c>
      <c r="ER87" s="251" t="s">
        <v>29</v>
      </c>
      <c r="ES87" s="252"/>
      <c r="ET87" s="374" t="str">
        <f>IF(EC21="","Emissions over project duration (AU area)",CONCATENATE("Emissions over project duration (",EC21," ha)"))</f>
        <v>Emissions over project duration (AU area)</v>
      </c>
      <c r="EU87" s="375"/>
      <c r="EV87" s="252"/>
      <c r="EW87" s="252"/>
      <c r="EX87" s="252"/>
      <c r="EY87" s="252"/>
      <c r="EZ87" s="252"/>
      <c r="FA87" s="252"/>
      <c r="FB87" s="252"/>
      <c r="FC87" s="252"/>
      <c r="FD87" s="253"/>
    </row>
    <row r="88" spans="7:160" ht="21.75" thickBot="1" x14ac:dyDescent="0.4">
      <c r="G88" s="247"/>
      <c r="H88" s="248"/>
      <c r="I88" s="248"/>
      <c r="J88" s="248"/>
      <c r="K88" s="248"/>
      <c r="L88" s="248"/>
      <c r="M88" s="248"/>
      <c r="N88" s="248"/>
      <c r="O88" s="248"/>
      <c r="P88" s="248"/>
      <c r="Q88" s="249"/>
      <c r="R88" s="248"/>
      <c r="S88" s="250" t="s">
        <v>78</v>
      </c>
      <c r="T88" s="254"/>
      <c r="U88" s="252"/>
      <c r="V88" s="252"/>
      <c r="W88" s="252"/>
      <c r="X88" s="252"/>
      <c r="Y88" s="252"/>
      <c r="Z88" s="252"/>
      <c r="AA88" s="252"/>
      <c r="AB88" s="252"/>
      <c r="AC88" s="252"/>
      <c r="AD88" s="252"/>
      <c r="AE88" s="252"/>
      <c r="AF88" s="253"/>
      <c r="AM88" s="247"/>
      <c r="AN88" s="248"/>
      <c r="AO88" s="248"/>
      <c r="AP88" s="248"/>
      <c r="AQ88" s="248"/>
      <c r="AR88" s="248"/>
      <c r="AS88" s="248"/>
      <c r="AT88" s="248"/>
      <c r="AU88" s="248"/>
      <c r="AV88" s="248"/>
      <c r="AW88" s="249"/>
      <c r="AX88" s="248"/>
      <c r="AY88" s="250" t="s">
        <v>78</v>
      </c>
      <c r="AZ88" s="254"/>
      <c r="BA88" s="252"/>
      <c r="BB88" s="252"/>
      <c r="BC88" s="252"/>
      <c r="BD88" s="252"/>
      <c r="BE88" s="252"/>
      <c r="BF88" s="252"/>
      <c r="BG88" s="252"/>
      <c r="BH88" s="252"/>
      <c r="BI88" s="252"/>
      <c r="BJ88" s="252"/>
      <c r="BK88" s="252"/>
      <c r="BL88" s="253"/>
      <c r="BS88" s="247"/>
      <c r="BT88" s="248"/>
      <c r="BU88" s="248"/>
      <c r="BV88" s="248"/>
      <c r="BW88" s="248"/>
      <c r="BX88" s="248"/>
      <c r="BY88" s="248"/>
      <c r="BZ88" s="248"/>
      <c r="CA88" s="248"/>
      <c r="CB88" s="248"/>
      <c r="CC88" s="249"/>
      <c r="CD88" s="248"/>
      <c r="CE88" s="250" t="s">
        <v>78</v>
      </c>
      <c r="CF88" s="254"/>
      <c r="CG88" s="252"/>
      <c r="CH88" s="252"/>
      <c r="CI88" s="252"/>
      <c r="CJ88" s="252"/>
      <c r="CK88" s="252"/>
      <c r="CL88" s="252"/>
      <c r="CM88" s="252"/>
      <c r="CN88" s="252"/>
      <c r="CO88" s="252"/>
      <c r="CP88" s="252"/>
      <c r="CQ88" s="252"/>
      <c r="CR88" s="253"/>
      <c r="CY88" s="247"/>
      <c r="CZ88" s="248"/>
      <c r="DA88" s="248"/>
      <c r="DB88" s="248"/>
      <c r="DC88" s="248"/>
      <c r="DD88" s="248"/>
      <c r="DE88" s="248"/>
      <c r="DF88" s="248"/>
      <c r="DG88" s="248"/>
      <c r="DH88" s="248"/>
      <c r="DI88" s="249"/>
      <c r="DJ88" s="248"/>
      <c r="DK88" s="250" t="s">
        <v>78</v>
      </c>
      <c r="DL88" s="254"/>
      <c r="DM88" s="252"/>
      <c r="DN88" s="252"/>
      <c r="DO88" s="252"/>
      <c r="DP88" s="252"/>
      <c r="DQ88" s="252"/>
      <c r="DR88" s="252"/>
      <c r="DS88" s="252"/>
      <c r="DT88" s="252"/>
      <c r="DU88" s="252"/>
      <c r="DV88" s="252"/>
      <c r="DW88" s="252"/>
      <c r="DX88" s="253"/>
      <c r="EE88" s="247"/>
      <c r="EF88" s="248"/>
      <c r="EG88" s="248"/>
      <c r="EH88" s="248"/>
      <c r="EI88" s="248"/>
      <c r="EJ88" s="248"/>
      <c r="EK88" s="248"/>
      <c r="EL88" s="248"/>
      <c r="EM88" s="248"/>
      <c r="EN88" s="248"/>
      <c r="EO88" s="249"/>
      <c r="EP88" s="248"/>
      <c r="EQ88" s="250" t="s">
        <v>78</v>
      </c>
      <c r="ER88" s="254"/>
      <c r="ES88" s="252"/>
      <c r="ET88" s="252"/>
      <c r="EU88" s="252"/>
      <c r="EV88" s="252"/>
      <c r="EW88" s="252"/>
      <c r="EX88" s="252"/>
      <c r="EY88" s="252"/>
      <c r="EZ88" s="252"/>
      <c r="FA88" s="252"/>
      <c r="FB88" s="252"/>
      <c r="FC88" s="252"/>
      <c r="FD88" s="253"/>
    </row>
    <row r="89" spans="7:160" ht="21.75" thickBot="1" x14ac:dyDescent="0.4">
      <c r="G89" s="247"/>
      <c r="H89" s="191" t="s">
        <v>32</v>
      </c>
      <c r="I89" s="192" t="s">
        <v>79</v>
      </c>
      <c r="J89" s="160" t="s">
        <v>69</v>
      </c>
      <c r="K89" s="249" t="s">
        <v>29</v>
      </c>
      <c r="L89" s="248"/>
      <c r="M89" s="191" t="s">
        <v>32</v>
      </c>
      <c r="N89" s="192" t="s">
        <v>80</v>
      </c>
      <c r="O89" s="160" t="s">
        <v>69</v>
      </c>
      <c r="P89" s="249"/>
      <c r="Q89" s="248"/>
      <c r="R89" s="248"/>
      <c r="S89" s="250" t="s">
        <v>78</v>
      </c>
      <c r="T89" s="254"/>
      <c r="U89" s="191" t="s">
        <v>32</v>
      </c>
      <c r="V89" s="192" t="s">
        <v>79</v>
      </c>
      <c r="W89" s="160" t="s">
        <v>69</v>
      </c>
      <c r="X89" s="255" t="s">
        <v>27</v>
      </c>
      <c r="Y89" s="252"/>
      <c r="Z89" s="191" t="s">
        <v>32</v>
      </c>
      <c r="AA89" s="192" t="s">
        <v>80</v>
      </c>
      <c r="AB89" s="160" t="s">
        <v>69</v>
      </c>
      <c r="AC89" s="252"/>
      <c r="AD89" s="252"/>
      <c r="AE89" s="252"/>
      <c r="AF89" s="253"/>
      <c r="AM89" s="247"/>
      <c r="AN89" s="191" t="s">
        <v>32</v>
      </c>
      <c r="AO89" s="192" t="s">
        <v>79</v>
      </c>
      <c r="AP89" s="160" t="s">
        <v>69</v>
      </c>
      <c r="AQ89" s="249" t="s">
        <v>29</v>
      </c>
      <c r="AR89" s="248"/>
      <c r="AS89" s="191" t="s">
        <v>32</v>
      </c>
      <c r="AT89" s="192" t="s">
        <v>80</v>
      </c>
      <c r="AU89" s="160" t="s">
        <v>69</v>
      </c>
      <c r="AV89" s="249"/>
      <c r="AW89" s="248"/>
      <c r="AX89" s="248"/>
      <c r="AY89" s="250" t="s">
        <v>78</v>
      </c>
      <c r="AZ89" s="254"/>
      <c r="BA89" s="191" t="s">
        <v>32</v>
      </c>
      <c r="BB89" s="192" t="s">
        <v>79</v>
      </c>
      <c r="BC89" s="160" t="s">
        <v>69</v>
      </c>
      <c r="BD89" s="255" t="s">
        <v>27</v>
      </c>
      <c r="BE89" s="252"/>
      <c r="BF89" s="191" t="s">
        <v>32</v>
      </c>
      <c r="BG89" s="192" t="s">
        <v>80</v>
      </c>
      <c r="BH89" s="160" t="s">
        <v>69</v>
      </c>
      <c r="BI89" s="252"/>
      <c r="BJ89" s="252"/>
      <c r="BK89" s="252"/>
      <c r="BL89" s="253"/>
      <c r="BS89" s="247"/>
      <c r="BT89" s="191" t="s">
        <v>32</v>
      </c>
      <c r="BU89" s="192" t="s">
        <v>79</v>
      </c>
      <c r="BV89" s="160" t="s">
        <v>69</v>
      </c>
      <c r="BW89" s="249" t="s">
        <v>29</v>
      </c>
      <c r="BX89" s="248"/>
      <c r="BY89" s="191" t="s">
        <v>32</v>
      </c>
      <c r="BZ89" s="192" t="s">
        <v>80</v>
      </c>
      <c r="CA89" s="160" t="s">
        <v>69</v>
      </c>
      <c r="CB89" s="249"/>
      <c r="CC89" s="248"/>
      <c r="CD89" s="248"/>
      <c r="CE89" s="250" t="s">
        <v>78</v>
      </c>
      <c r="CF89" s="254"/>
      <c r="CG89" s="191" t="s">
        <v>32</v>
      </c>
      <c r="CH89" s="192" t="s">
        <v>79</v>
      </c>
      <c r="CI89" s="160" t="s">
        <v>69</v>
      </c>
      <c r="CJ89" s="255" t="s">
        <v>27</v>
      </c>
      <c r="CK89" s="252"/>
      <c r="CL89" s="191" t="s">
        <v>32</v>
      </c>
      <c r="CM89" s="192" t="s">
        <v>80</v>
      </c>
      <c r="CN89" s="160" t="s">
        <v>69</v>
      </c>
      <c r="CO89" s="252"/>
      <c r="CP89" s="252"/>
      <c r="CQ89" s="252"/>
      <c r="CR89" s="253"/>
      <c r="CY89" s="247"/>
      <c r="CZ89" s="191" t="s">
        <v>32</v>
      </c>
      <c r="DA89" s="192" t="s">
        <v>79</v>
      </c>
      <c r="DB89" s="160" t="s">
        <v>69</v>
      </c>
      <c r="DC89" s="249" t="s">
        <v>29</v>
      </c>
      <c r="DD89" s="248"/>
      <c r="DE89" s="191" t="s">
        <v>32</v>
      </c>
      <c r="DF89" s="192" t="s">
        <v>80</v>
      </c>
      <c r="DG89" s="160" t="s">
        <v>69</v>
      </c>
      <c r="DH89" s="249"/>
      <c r="DI89" s="248"/>
      <c r="DJ89" s="248"/>
      <c r="DK89" s="250" t="s">
        <v>78</v>
      </c>
      <c r="DL89" s="254"/>
      <c r="DM89" s="191" t="s">
        <v>32</v>
      </c>
      <c r="DN89" s="192" t="s">
        <v>79</v>
      </c>
      <c r="DO89" s="160" t="s">
        <v>69</v>
      </c>
      <c r="DP89" s="255" t="s">
        <v>27</v>
      </c>
      <c r="DQ89" s="252"/>
      <c r="DR89" s="191" t="s">
        <v>32</v>
      </c>
      <c r="DS89" s="192" t="s">
        <v>80</v>
      </c>
      <c r="DT89" s="160" t="s">
        <v>69</v>
      </c>
      <c r="DU89" s="252"/>
      <c r="DV89" s="252"/>
      <c r="DW89" s="252"/>
      <c r="DX89" s="253"/>
      <c r="EE89" s="247"/>
      <c r="EF89" s="191" t="s">
        <v>32</v>
      </c>
      <c r="EG89" s="192" t="s">
        <v>79</v>
      </c>
      <c r="EH89" s="160" t="s">
        <v>69</v>
      </c>
      <c r="EI89" s="249" t="s">
        <v>29</v>
      </c>
      <c r="EJ89" s="248"/>
      <c r="EK89" s="191" t="s">
        <v>32</v>
      </c>
      <c r="EL89" s="192" t="s">
        <v>80</v>
      </c>
      <c r="EM89" s="160" t="s">
        <v>69</v>
      </c>
      <c r="EN89" s="249"/>
      <c r="EO89" s="248"/>
      <c r="EP89" s="248"/>
      <c r="EQ89" s="250" t="s">
        <v>78</v>
      </c>
      <c r="ER89" s="254"/>
      <c r="ES89" s="191" t="s">
        <v>32</v>
      </c>
      <c r="ET89" s="192" t="s">
        <v>79</v>
      </c>
      <c r="EU89" s="160" t="s">
        <v>69</v>
      </c>
      <c r="EV89" s="255" t="s">
        <v>27</v>
      </c>
      <c r="EW89" s="252"/>
      <c r="EX89" s="191" t="s">
        <v>32</v>
      </c>
      <c r="EY89" s="192" t="s">
        <v>80</v>
      </c>
      <c r="EZ89" s="160" t="s">
        <v>69</v>
      </c>
      <c r="FA89" s="252"/>
      <c r="FB89" s="252"/>
      <c r="FC89" s="252"/>
      <c r="FD89" s="253"/>
    </row>
    <row r="90" spans="7:160" ht="21" x14ac:dyDescent="0.35">
      <c r="G90" s="247"/>
      <c r="H90" s="248"/>
      <c r="I90" s="195" t="s">
        <v>81</v>
      </c>
      <c r="J90" s="155">
        <f>IF($E$22="","N/a",$E$22*J30)</f>
        <v>666.23333333333335</v>
      </c>
      <c r="K90" s="248"/>
      <c r="L90" s="248"/>
      <c r="M90" s="248"/>
      <c r="N90" s="195" t="s">
        <v>81</v>
      </c>
      <c r="O90" s="155" t="e">
        <f>IF($E$22="","N/a",$E$22*J42)</f>
        <v>#N/A</v>
      </c>
      <c r="P90" s="248"/>
      <c r="Q90" s="249"/>
      <c r="R90" s="248"/>
      <c r="S90" s="250" t="s">
        <v>78</v>
      </c>
      <c r="T90" s="254"/>
      <c r="U90" s="252"/>
      <c r="V90" s="195" t="s">
        <v>81</v>
      </c>
      <c r="W90" s="155">
        <f>IF($E$16="","N/a",IF(J90="N/a","N/a",$E$16*J90))</f>
        <v>6662.3333333333339</v>
      </c>
      <c r="X90" s="252"/>
      <c r="Y90" s="252"/>
      <c r="Z90" s="252"/>
      <c r="AA90" s="195" t="s">
        <v>81</v>
      </c>
      <c r="AB90" s="155" t="e">
        <f>IF($E$16="","N/a",IF(O90="N/a","N/a",$E$16*O90))</f>
        <v>#N/A</v>
      </c>
      <c r="AC90" s="252"/>
      <c r="AD90" s="252"/>
      <c r="AE90" s="252"/>
      <c r="AF90" s="253"/>
      <c r="AM90" s="247"/>
      <c r="AN90" s="248"/>
      <c r="AO90" s="195" t="s">
        <v>81</v>
      </c>
      <c r="AP90" s="155">
        <f>IF($E$22="","N/a",$E$22*AP30)</f>
        <v>666.23333333333335</v>
      </c>
      <c r="AQ90" s="248"/>
      <c r="AR90" s="248"/>
      <c r="AS90" s="248"/>
      <c r="AT90" s="195" t="s">
        <v>81</v>
      </c>
      <c r="AU90" s="155">
        <f>IF($E$22="","N/a",$E$22*AP42)</f>
        <v>174.53333333333333</v>
      </c>
      <c r="AV90" s="248"/>
      <c r="AW90" s="249"/>
      <c r="AX90" s="248"/>
      <c r="AY90" s="250" t="s">
        <v>78</v>
      </c>
      <c r="AZ90" s="254"/>
      <c r="BA90" s="252"/>
      <c r="BB90" s="195" t="s">
        <v>81</v>
      </c>
      <c r="BC90" s="155">
        <f>IF(AK21="","N/a",IF(AP90="N/a","N/a",AK21*AP90))</f>
        <v>6662.3333333333339</v>
      </c>
      <c r="BD90" s="252"/>
      <c r="BE90" s="252"/>
      <c r="BF90" s="252"/>
      <c r="BG90" s="195" t="s">
        <v>81</v>
      </c>
      <c r="BH90" s="155">
        <f>IF(AK21="","N/a",IF(AU90="N/a","N/a",AK21*AU90))</f>
        <v>1745.3333333333333</v>
      </c>
      <c r="BI90" s="252"/>
      <c r="BJ90" s="252"/>
      <c r="BK90" s="252"/>
      <c r="BL90" s="253"/>
      <c r="BS90" s="247"/>
      <c r="BT90" s="248"/>
      <c r="BU90" s="195" t="s">
        <v>81</v>
      </c>
      <c r="BV90" s="155" t="e">
        <f>IF($E$22="","N/a",$E$22*BV30)</f>
        <v>#VALUE!</v>
      </c>
      <c r="BW90" s="248"/>
      <c r="BX90" s="248"/>
      <c r="BY90" s="248"/>
      <c r="BZ90" s="195" t="s">
        <v>81</v>
      </c>
      <c r="CA90" s="155" t="e">
        <f>IF($E$22="","N/a",$E$22*BV42)</f>
        <v>#VALUE!</v>
      </c>
      <c r="CB90" s="248"/>
      <c r="CC90" s="249"/>
      <c r="CD90" s="248"/>
      <c r="CE90" s="250" t="s">
        <v>78</v>
      </c>
      <c r="CF90" s="254"/>
      <c r="CG90" s="252"/>
      <c r="CH90" s="195" t="s">
        <v>81</v>
      </c>
      <c r="CI90" s="155" t="str">
        <f>IF(BQ21="","N/a",IF(BV90="N/a","N/a",BQ21*BV90))</f>
        <v>N/a</v>
      </c>
      <c r="CJ90" s="252"/>
      <c r="CK90" s="252"/>
      <c r="CL90" s="252"/>
      <c r="CM90" s="195" t="s">
        <v>81</v>
      </c>
      <c r="CN90" s="155" t="str">
        <f>IF(BQ21="","N/a",IF(CA90="N/a","N/a",BQ21*CA90))</f>
        <v>N/a</v>
      </c>
      <c r="CO90" s="252"/>
      <c r="CP90" s="252"/>
      <c r="CQ90" s="252"/>
      <c r="CR90" s="253"/>
      <c r="CY90" s="247"/>
      <c r="CZ90" s="248"/>
      <c r="DA90" s="195" t="s">
        <v>81</v>
      </c>
      <c r="DB90" s="155" t="e">
        <f>IF($E$22="","N/a",$E$22*DB30)</f>
        <v>#VALUE!</v>
      </c>
      <c r="DC90" s="248"/>
      <c r="DD90" s="248"/>
      <c r="DE90" s="248"/>
      <c r="DF90" s="195" t="s">
        <v>81</v>
      </c>
      <c r="DG90" s="155" t="e">
        <f>IF($E$22="","N/a",$E$22*DB42)</f>
        <v>#VALUE!</v>
      </c>
      <c r="DH90" s="248"/>
      <c r="DI90" s="249"/>
      <c r="DJ90" s="248"/>
      <c r="DK90" s="250" t="s">
        <v>78</v>
      </c>
      <c r="DL90" s="254"/>
      <c r="DM90" s="252"/>
      <c r="DN90" s="195" t="s">
        <v>81</v>
      </c>
      <c r="DO90" s="155" t="str">
        <f>IF(CW21="","N/a",IF(DB90="N/a","N/a",CW21*DB90))</f>
        <v>N/a</v>
      </c>
      <c r="DP90" s="252"/>
      <c r="DQ90" s="252"/>
      <c r="DR90" s="252"/>
      <c r="DS90" s="195" t="s">
        <v>81</v>
      </c>
      <c r="DT90" s="155" t="str">
        <f>IF(CW21="","N/a",IF(DG90="N/a","N/a",CW21*DG90))</f>
        <v>N/a</v>
      </c>
      <c r="DU90" s="252"/>
      <c r="DV90" s="252"/>
      <c r="DW90" s="252"/>
      <c r="DX90" s="253"/>
      <c r="EE90" s="247"/>
      <c r="EF90" s="248"/>
      <c r="EG90" s="195" t="s">
        <v>81</v>
      </c>
      <c r="EH90" s="155" t="e">
        <f>IF($E$22="","N/a",$E$22*EH30)</f>
        <v>#VALUE!</v>
      </c>
      <c r="EI90" s="248"/>
      <c r="EJ90" s="248"/>
      <c r="EK90" s="248"/>
      <c r="EL90" s="195" t="s">
        <v>81</v>
      </c>
      <c r="EM90" s="155" t="e">
        <f>IF($E$22="","N/a",$E$22*EH42)</f>
        <v>#VALUE!</v>
      </c>
      <c r="EN90" s="248"/>
      <c r="EO90" s="249"/>
      <c r="EP90" s="248"/>
      <c r="EQ90" s="250" t="s">
        <v>78</v>
      </c>
      <c r="ER90" s="254"/>
      <c r="ES90" s="252"/>
      <c r="ET90" s="195" t="s">
        <v>81</v>
      </c>
      <c r="EU90" s="155" t="str">
        <f>IF(EC21="","N/a",IF(EH90="N/a","N/a",EC21*EH90))</f>
        <v>N/a</v>
      </c>
      <c r="EV90" s="252"/>
      <c r="EW90" s="252"/>
      <c r="EX90" s="252"/>
      <c r="EY90" s="195" t="s">
        <v>81</v>
      </c>
      <c r="EZ90" s="155" t="str">
        <f>IF(EC21="","N/a",IF(EM90="N/a","N/a",EC21*EM90))</f>
        <v>N/a</v>
      </c>
      <c r="FA90" s="252"/>
      <c r="FB90" s="252"/>
      <c r="FC90" s="252"/>
      <c r="FD90" s="253"/>
    </row>
    <row r="91" spans="7:160" ht="21" x14ac:dyDescent="0.35">
      <c r="G91" s="247"/>
      <c r="H91" s="248"/>
      <c r="I91" s="195" t="s">
        <v>82</v>
      </c>
      <c r="J91" s="155">
        <f>IF($E$22="","N/a",$E$22*J32)</f>
        <v>1.100009409607507</v>
      </c>
      <c r="K91" s="248"/>
      <c r="L91" s="248"/>
      <c r="M91" s="248"/>
      <c r="N91" s="195" t="s">
        <v>82</v>
      </c>
      <c r="O91" s="155" t="e">
        <f>IF($E$22="","N/a",$E$22*J44)</f>
        <v>#N/A</v>
      </c>
      <c r="P91" s="248"/>
      <c r="Q91" s="249"/>
      <c r="R91" s="248"/>
      <c r="S91" s="250" t="s">
        <v>78</v>
      </c>
      <c r="T91" s="254"/>
      <c r="U91" s="252"/>
      <c r="V91" s="195" t="s">
        <v>82</v>
      </c>
      <c r="W91" s="155">
        <f t="shared" ref="W91:W93" si="12">IF($E$16="","N/a",IF(J91="N/a","N/a",$E$16*J91))</f>
        <v>11.00009409607507</v>
      </c>
      <c r="X91" s="252"/>
      <c r="Y91" s="252"/>
      <c r="Z91" s="252"/>
      <c r="AA91" s="195" t="s">
        <v>82</v>
      </c>
      <c r="AB91" s="155" t="e">
        <f t="shared" ref="AB91:AB93" si="13">IF($E$16="","N/a",IF(O91="N/a","N/a",$E$16*O91))</f>
        <v>#N/A</v>
      </c>
      <c r="AC91" s="252"/>
      <c r="AD91" s="252"/>
      <c r="AE91" s="252"/>
      <c r="AF91" s="253"/>
      <c r="AM91" s="247"/>
      <c r="AN91" s="248"/>
      <c r="AO91" s="195" t="s">
        <v>82</v>
      </c>
      <c r="AP91" s="155">
        <f>IF($E$22="","N/a",$E$22*AP32)</f>
        <v>2.2716360809548175</v>
      </c>
      <c r="AQ91" s="248"/>
      <c r="AR91" s="248"/>
      <c r="AS91" s="248"/>
      <c r="AT91" s="195" t="s">
        <v>82</v>
      </c>
      <c r="AU91" s="155">
        <f>IF($E$22="","N/a",$E$22*AP44)</f>
        <v>61.311674137612783</v>
      </c>
      <c r="AV91" s="248"/>
      <c r="AW91" s="249"/>
      <c r="AX91" s="248"/>
      <c r="AY91" s="250" t="s">
        <v>78</v>
      </c>
      <c r="AZ91" s="254"/>
      <c r="BA91" s="252"/>
      <c r="BB91" s="195" t="s">
        <v>82</v>
      </c>
      <c r="BC91" s="155">
        <f>IF(AK21="","N/a",IF(AP91="N/a","N/a",AK21*AP91))</f>
        <v>22.716360809548174</v>
      </c>
      <c r="BD91" s="252"/>
      <c r="BE91" s="252"/>
      <c r="BF91" s="252"/>
      <c r="BG91" s="195" t="s">
        <v>82</v>
      </c>
      <c r="BH91" s="155">
        <f>IF(AK21="","N/a",IF(AU91="N/a","N/a",AK21*AU91))</f>
        <v>613.11674137612783</v>
      </c>
      <c r="BI91" s="252"/>
      <c r="BJ91" s="252"/>
      <c r="BK91" s="252"/>
      <c r="BL91" s="253"/>
      <c r="BS91" s="247"/>
      <c r="BT91" s="248"/>
      <c r="BU91" s="195" t="s">
        <v>82</v>
      </c>
      <c r="BV91" s="155" t="e">
        <f>IF($E$22="","N/a",$E$22*BV32)</f>
        <v>#VALUE!</v>
      </c>
      <c r="BW91" s="248"/>
      <c r="BX91" s="248"/>
      <c r="BY91" s="248"/>
      <c r="BZ91" s="195" t="s">
        <v>82</v>
      </c>
      <c r="CA91" s="155" t="e">
        <f>IF($E$22="","N/a",$E$22*BV44)</f>
        <v>#VALUE!</v>
      </c>
      <c r="CB91" s="248"/>
      <c r="CC91" s="249"/>
      <c r="CD91" s="248"/>
      <c r="CE91" s="250" t="s">
        <v>78</v>
      </c>
      <c r="CF91" s="254"/>
      <c r="CG91" s="252"/>
      <c r="CH91" s="195" t="s">
        <v>82</v>
      </c>
      <c r="CI91" s="155" t="str">
        <f>IF(BQ21="","N/a",IF(BV91="N/a","N/a",BQ21*BV91))</f>
        <v>N/a</v>
      </c>
      <c r="CJ91" s="252"/>
      <c r="CK91" s="252"/>
      <c r="CL91" s="252"/>
      <c r="CM91" s="195" t="s">
        <v>82</v>
      </c>
      <c r="CN91" s="155" t="str">
        <f>IF(BQ21="","N/a",IF(CA91="N/a","N/a",BQ21*CA91))</f>
        <v>N/a</v>
      </c>
      <c r="CO91" s="252"/>
      <c r="CP91" s="252"/>
      <c r="CQ91" s="252"/>
      <c r="CR91" s="253"/>
      <c r="CY91" s="247"/>
      <c r="CZ91" s="248"/>
      <c r="DA91" s="195" t="s">
        <v>82</v>
      </c>
      <c r="DB91" s="155" t="e">
        <f>IF($E$22="","N/a",$E$22*DB32)</f>
        <v>#VALUE!</v>
      </c>
      <c r="DC91" s="248"/>
      <c r="DD91" s="248"/>
      <c r="DE91" s="248"/>
      <c r="DF91" s="195" t="s">
        <v>82</v>
      </c>
      <c r="DG91" s="155" t="e">
        <f>IF($E$22="","N/a",$E$22*DB44)</f>
        <v>#VALUE!</v>
      </c>
      <c r="DH91" s="248"/>
      <c r="DI91" s="249"/>
      <c r="DJ91" s="248"/>
      <c r="DK91" s="250" t="s">
        <v>78</v>
      </c>
      <c r="DL91" s="254"/>
      <c r="DM91" s="252"/>
      <c r="DN91" s="195" t="s">
        <v>82</v>
      </c>
      <c r="DO91" s="155" t="str">
        <f>IF(CW21="","N/a",IF(DB91="N/a","N/a",CW21*DB91))</f>
        <v>N/a</v>
      </c>
      <c r="DP91" s="252"/>
      <c r="DQ91" s="252"/>
      <c r="DR91" s="252"/>
      <c r="DS91" s="195" t="s">
        <v>82</v>
      </c>
      <c r="DT91" s="155" t="str">
        <f>IF(CW21="","N/a",IF(DG91="N/a","N/a",CW21*DG91))</f>
        <v>N/a</v>
      </c>
      <c r="DU91" s="252"/>
      <c r="DV91" s="252"/>
      <c r="DW91" s="252"/>
      <c r="DX91" s="253"/>
      <c r="EE91" s="247"/>
      <c r="EF91" s="248"/>
      <c r="EG91" s="195" t="s">
        <v>82</v>
      </c>
      <c r="EH91" s="155" t="e">
        <f>IF($E$22="","N/a",$E$22*EH32)</f>
        <v>#VALUE!</v>
      </c>
      <c r="EI91" s="248"/>
      <c r="EJ91" s="248"/>
      <c r="EK91" s="248"/>
      <c r="EL91" s="195" t="s">
        <v>82</v>
      </c>
      <c r="EM91" s="155" t="e">
        <f>IF($E$22="","N/a",$E$22*EH44)</f>
        <v>#VALUE!</v>
      </c>
      <c r="EN91" s="248"/>
      <c r="EO91" s="249"/>
      <c r="EP91" s="248"/>
      <c r="EQ91" s="250" t="s">
        <v>78</v>
      </c>
      <c r="ER91" s="254"/>
      <c r="ES91" s="252"/>
      <c r="ET91" s="195" t="s">
        <v>82</v>
      </c>
      <c r="EU91" s="155" t="str">
        <f>IF(EC21="","N/a",IF(EH91="N/a","N/a",EC21*EH91))</f>
        <v>N/a</v>
      </c>
      <c r="EV91" s="252"/>
      <c r="EW91" s="252"/>
      <c r="EX91" s="252"/>
      <c r="EY91" s="195" t="s">
        <v>82</v>
      </c>
      <c r="EZ91" s="155" t="str">
        <f>IF(EC21="","N/a",IF(EM91="N/a","N/a",EC21*EM91))</f>
        <v>N/a</v>
      </c>
      <c r="FA91" s="252"/>
      <c r="FB91" s="252"/>
      <c r="FC91" s="252"/>
      <c r="FD91" s="253"/>
    </row>
    <row r="92" spans="7:160" ht="21" x14ac:dyDescent="0.35">
      <c r="G92" s="247"/>
      <c r="H92" s="248"/>
      <c r="I92" s="195" t="s">
        <v>83</v>
      </c>
      <c r="J92" s="155">
        <f>IF($E$22="","N/a",$E$22*J34)</f>
        <v>0</v>
      </c>
      <c r="K92" s="248"/>
      <c r="L92" s="248"/>
      <c r="M92" s="248"/>
      <c r="N92" s="195" t="s">
        <v>83</v>
      </c>
      <c r="O92" s="155">
        <f>IF($E$22="","N/a",IF(J68="N/a",$E$22*J46,IF($E$22=1,J68,IF($E$22=2,SUM(J68:J69),IF($E$22=3,SUM(J68:J70),IF($E$22=4,SUM(J68:J71),IF($E$22=5,SUM(J68:J72),SUM(J68:J72)+(($E$22-5)*J46))))))))</f>
        <v>0</v>
      </c>
      <c r="P92" s="248"/>
      <c r="Q92" s="248"/>
      <c r="R92" s="248"/>
      <c r="S92" s="250" t="s">
        <v>78</v>
      </c>
      <c r="T92" s="254"/>
      <c r="U92" s="252"/>
      <c r="V92" s="195" t="s">
        <v>83</v>
      </c>
      <c r="W92" s="155">
        <f t="shared" si="12"/>
        <v>0</v>
      </c>
      <c r="X92" s="252"/>
      <c r="Y92" s="252"/>
      <c r="Z92" s="252"/>
      <c r="AA92" s="195" t="s">
        <v>83</v>
      </c>
      <c r="AB92" s="155">
        <f t="shared" si="13"/>
        <v>0</v>
      </c>
      <c r="AC92" s="252"/>
      <c r="AD92" s="252"/>
      <c r="AE92" s="252"/>
      <c r="AF92" s="253"/>
      <c r="AM92" s="247"/>
      <c r="AN92" s="248"/>
      <c r="AO92" s="195" t="s">
        <v>83</v>
      </c>
      <c r="AP92" s="155">
        <f>IF($E$22="","N/a",$E$22*AP34)</f>
        <v>338.97285714285721</v>
      </c>
      <c r="AQ92" s="248"/>
      <c r="AR92" s="248"/>
      <c r="AS92" s="248"/>
      <c r="AT92" s="195" t="s">
        <v>83</v>
      </c>
      <c r="AU92" s="155">
        <f>IF($E$22="","N/a",IF(AP68="N/a",$E$22*AP46,IF($E$22=1,AP68,IF($E$22=2,SUM(AP68:AP69),IF($E$22=3,SUM(AP68:AP70),IF($E$22=4,SUM(AP68:AP71),IF($E$22=5,SUM(AP68:AP72),SUM(AP68:AP72)+(($E$22-5)*AP46))))))))</f>
        <v>16.948642857142854</v>
      </c>
      <c r="AV92" s="248"/>
      <c r="AW92" s="248"/>
      <c r="AX92" s="248"/>
      <c r="AY92" s="250" t="s">
        <v>78</v>
      </c>
      <c r="AZ92" s="254"/>
      <c r="BA92" s="252"/>
      <c r="BB92" s="195" t="s">
        <v>83</v>
      </c>
      <c r="BC92" s="155">
        <f>IF(AK21="","N/a",IF(AP92="N/a","N/a",AK21*AP92))</f>
        <v>3389.7285714285722</v>
      </c>
      <c r="BD92" s="252"/>
      <c r="BE92" s="252"/>
      <c r="BF92" s="252"/>
      <c r="BG92" s="195" t="s">
        <v>83</v>
      </c>
      <c r="BH92" s="155">
        <f>IF(AK21="","N/a",IF(AU92="N/a","N/a",AK21*AU92))</f>
        <v>169.48642857142855</v>
      </c>
      <c r="BI92" s="252"/>
      <c r="BJ92" s="252"/>
      <c r="BK92" s="252"/>
      <c r="BL92" s="253"/>
      <c r="BS92" s="247"/>
      <c r="BT92" s="248"/>
      <c r="BU92" s="195" t="s">
        <v>83</v>
      </c>
      <c r="BV92" s="155" t="e">
        <f>IF($E$22="","N/a",$E$22*BV34)</f>
        <v>#VALUE!</v>
      </c>
      <c r="BW92" s="248"/>
      <c r="BX92" s="248"/>
      <c r="BY92" s="248"/>
      <c r="BZ92" s="195" t="s">
        <v>83</v>
      </c>
      <c r="CA92" s="155" t="e">
        <f>IF($E$22="","N/a",IF(BV68="N/a",$E$22*BV46,IF($E$22=1,BV68,IF($E$22=2,SUM(BV68:BV69),IF($E$22=3,SUM(BV68:BV70),IF($E$22=4,SUM(BV68:BV71),IF($E$22=5,SUM(BV68:BV72),SUM(BV68:BV72)+(($E$22-5)*BV46))))))))</f>
        <v>#VALUE!</v>
      </c>
      <c r="CB92" s="248"/>
      <c r="CC92" s="248"/>
      <c r="CD92" s="248"/>
      <c r="CE92" s="250" t="s">
        <v>78</v>
      </c>
      <c r="CF92" s="254"/>
      <c r="CG92" s="252"/>
      <c r="CH92" s="195" t="s">
        <v>83</v>
      </c>
      <c r="CI92" s="155" t="str">
        <f>IF(BQ21="","N/a",IF(BV92="N/a","N/a",BQ21*BV92))</f>
        <v>N/a</v>
      </c>
      <c r="CJ92" s="252"/>
      <c r="CK92" s="252"/>
      <c r="CL92" s="252"/>
      <c r="CM92" s="195" t="s">
        <v>83</v>
      </c>
      <c r="CN92" s="155" t="str">
        <f>IF(BQ21="","N/a",IF(CA92="N/a","N/a",BQ21*CA92))</f>
        <v>N/a</v>
      </c>
      <c r="CO92" s="252"/>
      <c r="CP92" s="252"/>
      <c r="CQ92" s="252"/>
      <c r="CR92" s="253"/>
      <c r="CY92" s="247"/>
      <c r="CZ92" s="248"/>
      <c r="DA92" s="195" t="s">
        <v>83</v>
      </c>
      <c r="DB92" s="155" t="e">
        <f>IF($E$22="","N/a",$E$22*DB34)</f>
        <v>#VALUE!</v>
      </c>
      <c r="DC92" s="248"/>
      <c r="DD92" s="248"/>
      <c r="DE92" s="248"/>
      <c r="DF92" s="195" t="s">
        <v>83</v>
      </c>
      <c r="DG92" s="155" t="e">
        <f>IF($E$22="","N/a",IF(DB68="N/a",$E$22*DB46,IF($E$22=1,DB68,IF($E$22=2,SUM(DB68:DB69),IF($E$22=3,SUM(DB68:DB70),IF($E$22=4,SUM(DB68:DB71),IF($E$22=5,SUM(DB68:DB72),SUM(DB68:DB72)+(($E$22-5)*DB46))))))))</f>
        <v>#VALUE!</v>
      </c>
      <c r="DH92" s="248"/>
      <c r="DI92" s="248"/>
      <c r="DJ92" s="248"/>
      <c r="DK92" s="250" t="s">
        <v>78</v>
      </c>
      <c r="DL92" s="254"/>
      <c r="DM92" s="252"/>
      <c r="DN92" s="195" t="s">
        <v>83</v>
      </c>
      <c r="DO92" s="155" t="str">
        <f>IF(CW21="","N/a",IF(DB92="N/a","N/a",CW21*DB92))</f>
        <v>N/a</v>
      </c>
      <c r="DP92" s="252"/>
      <c r="DQ92" s="252"/>
      <c r="DR92" s="252"/>
      <c r="DS92" s="195" t="s">
        <v>83</v>
      </c>
      <c r="DT92" s="155" t="str">
        <f>IF(CW21="","N/a",IF(DG92="N/a","N/a",CW21*DG92))</f>
        <v>N/a</v>
      </c>
      <c r="DU92" s="252"/>
      <c r="DV92" s="252"/>
      <c r="DW92" s="252"/>
      <c r="DX92" s="253"/>
      <c r="EE92" s="247"/>
      <c r="EF92" s="248"/>
      <c r="EG92" s="195" t="s">
        <v>83</v>
      </c>
      <c r="EH92" s="155" t="e">
        <f>IF($E$22="","N/a",$E$22*EH34)</f>
        <v>#VALUE!</v>
      </c>
      <c r="EI92" s="248"/>
      <c r="EJ92" s="248"/>
      <c r="EK92" s="248"/>
      <c r="EL92" s="195" t="s">
        <v>83</v>
      </c>
      <c r="EM92" s="155" t="e">
        <f>IF($E$22="","N/a",IF(EH68="N/a",$E$22*EH46,IF($E$22=1,EH68,IF($E$22=2,SUM(EH68:EH69),IF($E$22=3,SUM(EH68:EH70),IF($E$22=4,SUM(EH68:EH71),IF($E$22=5,SUM(EH68:EH72),SUM(EH68:EH72)+(($E$22-5)*EH46))))))))</f>
        <v>#VALUE!</v>
      </c>
      <c r="EN92" s="248"/>
      <c r="EO92" s="248"/>
      <c r="EP92" s="248"/>
      <c r="EQ92" s="250" t="s">
        <v>78</v>
      </c>
      <c r="ER92" s="254"/>
      <c r="ES92" s="252"/>
      <c r="ET92" s="195" t="s">
        <v>83</v>
      </c>
      <c r="EU92" s="155" t="str">
        <f>IF(EC21="","N/a",IF(EH92="N/a","N/a",EC21*EH92))</f>
        <v>N/a</v>
      </c>
      <c r="EV92" s="252"/>
      <c r="EW92" s="252"/>
      <c r="EX92" s="252"/>
      <c r="EY92" s="195" t="s">
        <v>83</v>
      </c>
      <c r="EZ92" s="155" t="str">
        <f>IF(EC21="","N/a",IF(EM92="N/a","N/a",EC21*EM92))</f>
        <v>N/a</v>
      </c>
      <c r="FA92" s="252"/>
      <c r="FB92" s="252"/>
      <c r="FC92" s="252"/>
      <c r="FD92" s="253"/>
    </row>
    <row r="93" spans="7:160" ht="21.75" thickBot="1" x14ac:dyDescent="0.4">
      <c r="G93" s="247"/>
      <c r="H93" s="248"/>
      <c r="I93" s="256" t="s">
        <v>84</v>
      </c>
      <c r="J93" s="226">
        <f>IF($E$22="","N/a",$E$22*J36)</f>
        <v>667.33334274294089</v>
      </c>
      <c r="K93" s="248"/>
      <c r="L93" s="248"/>
      <c r="M93" s="248"/>
      <c r="N93" s="256" t="s">
        <v>84</v>
      </c>
      <c r="O93" s="226" t="e">
        <f>IF($E$22="","N/a",SUM(O90:O92))</f>
        <v>#N/A</v>
      </c>
      <c r="P93" s="248"/>
      <c r="Q93" s="248"/>
      <c r="R93" s="249"/>
      <c r="S93" s="250" t="s">
        <v>78</v>
      </c>
      <c r="T93" s="254"/>
      <c r="U93" s="252"/>
      <c r="V93" s="256" t="s">
        <v>84</v>
      </c>
      <c r="W93" s="226">
        <f t="shared" si="12"/>
        <v>6673.3334274294084</v>
      </c>
      <c r="X93" s="252"/>
      <c r="Y93" s="252"/>
      <c r="Z93" s="252"/>
      <c r="AA93" s="256" t="s">
        <v>84</v>
      </c>
      <c r="AB93" s="226" t="e">
        <f t="shared" si="13"/>
        <v>#N/A</v>
      </c>
      <c r="AC93" s="252"/>
      <c r="AD93" s="252"/>
      <c r="AE93" s="252"/>
      <c r="AF93" s="253"/>
      <c r="AM93" s="247"/>
      <c r="AN93" s="248"/>
      <c r="AO93" s="256" t="s">
        <v>84</v>
      </c>
      <c r="AP93" s="226">
        <f>IF($E$22="","N/a",$E$22*AP36)</f>
        <v>1007.4778265571454</v>
      </c>
      <c r="AQ93" s="248"/>
      <c r="AR93" s="248"/>
      <c r="AS93" s="248"/>
      <c r="AT93" s="256" t="s">
        <v>84</v>
      </c>
      <c r="AU93" s="226">
        <f>IF($E$22="","N/a",SUM(AU90:AU92))</f>
        <v>252.79365032808897</v>
      </c>
      <c r="AV93" s="248"/>
      <c r="AW93" s="248"/>
      <c r="AX93" s="249"/>
      <c r="AY93" s="250" t="s">
        <v>78</v>
      </c>
      <c r="AZ93" s="254"/>
      <c r="BA93" s="252"/>
      <c r="BB93" s="256" t="s">
        <v>84</v>
      </c>
      <c r="BC93" s="226">
        <f>IF(AK21="","N/a",IF(AP93="N/a","N/a",AK21*AP93))</f>
        <v>10074.778265571455</v>
      </c>
      <c r="BD93" s="252"/>
      <c r="BE93" s="252"/>
      <c r="BF93" s="252"/>
      <c r="BG93" s="256" t="s">
        <v>84</v>
      </c>
      <c r="BH93" s="226">
        <f>IF(AK21="","N/a",IF(AU93="N/a","N/a",AK21*AU93))</f>
        <v>2527.9365032808896</v>
      </c>
      <c r="BI93" s="252"/>
      <c r="BJ93" s="252"/>
      <c r="BK93" s="252"/>
      <c r="BL93" s="253"/>
      <c r="BS93" s="247"/>
      <c r="BT93" s="248"/>
      <c r="BU93" s="256" t="s">
        <v>84</v>
      </c>
      <c r="BV93" s="226" t="e">
        <f>IF($E$22="","N/a",$E$22*BV36)</f>
        <v>#VALUE!</v>
      </c>
      <c r="BW93" s="248"/>
      <c r="BX93" s="248"/>
      <c r="BY93" s="248"/>
      <c r="BZ93" s="256" t="s">
        <v>84</v>
      </c>
      <c r="CA93" s="226" t="e">
        <f>IF($E$22="","N/a",SUM(CA90:CA92))</f>
        <v>#VALUE!</v>
      </c>
      <c r="CB93" s="248"/>
      <c r="CC93" s="248"/>
      <c r="CD93" s="249"/>
      <c r="CE93" s="250" t="s">
        <v>78</v>
      </c>
      <c r="CF93" s="254"/>
      <c r="CG93" s="252"/>
      <c r="CH93" s="256" t="s">
        <v>84</v>
      </c>
      <c r="CI93" s="226" t="str">
        <f>IF(BQ21="","N/a",IF(BV93="N/a","N/a",BQ21*BV93))</f>
        <v>N/a</v>
      </c>
      <c r="CJ93" s="252"/>
      <c r="CK93" s="252"/>
      <c r="CL93" s="252"/>
      <c r="CM93" s="256" t="s">
        <v>84</v>
      </c>
      <c r="CN93" s="226" t="str">
        <f>IF(BQ21="","N/a",IF(CA93="N/a","N/a",BQ21*CA93))</f>
        <v>N/a</v>
      </c>
      <c r="CO93" s="252"/>
      <c r="CP93" s="252"/>
      <c r="CQ93" s="252"/>
      <c r="CR93" s="253"/>
      <c r="CY93" s="247"/>
      <c r="CZ93" s="248"/>
      <c r="DA93" s="256" t="s">
        <v>84</v>
      </c>
      <c r="DB93" s="226" t="e">
        <f>IF($E$22="","N/a",$E$22*DB36)</f>
        <v>#VALUE!</v>
      </c>
      <c r="DC93" s="248"/>
      <c r="DD93" s="248"/>
      <c r="DE93" s="248"/>
      <c r="DF93" s="256" t="s">
        <v>84</v>
      </c>
      <c r="DG93" s="226" t="e">
        <f>IF($E$22="","N/a",SUM(DG90:DG92))</f>
        <v>#VALUE!</v>
      </c>
      <c r="DH93" s="248"/>
      <c r="DI93" s="248"/>
      <c r="DJ93" s="249"/>
      <c r="DK93" s="250" t="s">
        <v>78</v>
      </c>
      <c r="DL93" s="254"/>
      <c r="DM93" s="252"/>
      <c r="DN93" s="256" t="s">
        <v>84</v>
      </c>
      <c r="DO93" s="226" t="str">
        <f>IF(CW21="","N/a",IF(DB93="N/a","N/a",CW21*DB93))</f>
        <v>N/a</v>
      </c>
      <c r="DP93" s="252"/>
      <c r="DQ93" s="252"/>
      <c r="DR93" s="252"/>
      <c r="DS93" s="256" t="s">
        <v>84</v>
      </c>
      <c r="DT93" s="226" t="str">
        <f>IF(CW21="","N/a",IF(DG93="N/a","N/a",CW21*DG93))</f>
        <v>N/a</v>
      </c>
      <c r="DU93" s="252"/>
      <c r="DV93" s="252"/>
      <c r="DW93" s="252"/>
      <c r="DX93" s="253"/>
      <c r="EE93" s="247"/>
      <c r="EF93" s="248"/>
      <c r="EG93" s="256" t="s">
        <v>84</v>
      </c>
      <c r="EH93" s="226" t="e">
        <f>IF($E$22="","N/a",$E$22*EH36)</f>
        <v>#VALUE!</v>
      </c>
      <c r="EI93" s="248"/>
      <c r="EJ93" s="248"/>
      <c r="EK93" s="248"/>
      <c r="EL93" s="256" t="s">
        <v>84</v>
      </c>
      <c r="EM93" s="226" t="e">
        <f>IF($E$22="","N/a",SUM(EM90:EM92))</f>
        <v>#VALUE!</v>
      </c>
      <c r="EN93" s="248"/>
      <c r="EO93" s="248"/>
      <c r="EP93" s="249"/>
      <c r="EQ93" s="250" t="s">
        <v>78</v>
      </c>
      <c r="ER93" s="254"/>
      <c r="ES93" s="252"/>
      <c r="ET93" s="256" t="s">
        <v>84</v>
      </c>
      <c r="EU93" s="226" t="str">
        <f>IF(EC21="","N/a",IF(EH93="N/a","N/a",EC21*EH93))</f>
        <v>N/a</v>
      </c>
      <c r="EV93" s="252"/>
      <c r="EW93" s="252"/>
      <c r="EX93" s="252"/>
      <c r="EY93" s="256" t="s">
        <v>84</v>
      </c>
      <c r="EZ93" s="226" t="str">
        <f>IF(EC21="","N/a",IF(EM93="N/a","N/a",EC21*EM93))</f>
        <v>N/a</v>
      </c>
      <c r="FA93" s="252"/>
      <c r="FB93" s="252"/>
      <c r="FC93" s="252"/>
      <c r="FD93" s="253"/>
    </row>
    <row r="94" spans="7:160" ht="21" x14ac:dyDescent="0.35">
      <c r="G94" s="247"/>
      <c r="H94" s="248"/>
      <c r="I94" s="248"/>
      <c r="J94" s="248"/>
      <c r="K94" s="248"/>
      <c r="L94" s="248"/>
      <c r="M94" s="248"/>
      <c r="N94" s="248"/>
      <c r="O94" s="249" t="s">
        <v>85</v>
      </c>
      <c r="P94" s="248"/>
      <c r="Q94" s="249"/>
      <c r="R94" s="248"/>
      <c r="S94" s="250" t="s">
        <v>78</v>
      </c>
      <c r="T94" s="254"/>
      <c r="U94" s="252"/>
      <c r="V94" s="252"/>
      <c r="W94" s="252"/>
      <c r="X94" s="252"/>
      <c r="Y94" s="252"/>
      <c r="Z94" s="252"/>
      <c r="AA94" s="252"/>
      <c r="AB94" s="255" t="s">
        <v>85</v>
      </c>
      <c r="AC94" s="252"/>
      <c r="AD94" s="252"/>
      <c r="AE94" s="252"/>
      <c r="AF94" s="253"/>
      <c r="AM94" s="247"/>
      <c r="AN94" s="248"/>
      <c r="AO94" s="248"/>
      <c r="AP94" s="248"/>
      <c r="AQ94" s="248"/>
      <c r="AR94" s="248"/>
      <c r="AS94" s="248"/>
      <c r="AT94" s="248"/>
      <c r="AU94" s="249" t="s">
        <v>85</v>
      </c>
      <c r="AV94" s="248"/>
      <c r="AW94" s="249"/>
      <c r="AX94" s="248"/>
      <c r="AY94" s="250" t="s">
        <v>78</v>
      </c>
      <c r="AZ94" s="254"/>
      <c r="BA94" s="252"/>
      <c r="BB94" s="252"/>
      <c r="BC94" s="252"/>
      <c r="BD94" s="252"/>
      <c r="BE94" s="252"/>
      <c r="BF94" s="252"/>
      <c r="BG94" s="252"/>
      <c r="BH94" s="255" t="s">
        <v>85</v>
      </c>
      <c r="BI94" s="252"/>
      <c r="BJ94" s="252"/>
      <c r="BK94" s="252"/>
      <c r="BL94" s="253"/>
      <c r="BS94" s="247"/>
      <c r="BT94" s="248"/>
      <c r="BU94" s="248"/>
      <c r="BV94" s="248"/>
      <c r="BW94" s="248"/>
      <c r="BX94" s="248"/>
      <c r="BY94" s="248"/>
      <c r="BZ94" s="248"/>
      <c r="CA94" s="249" t="s">
        <v>85</v>
      </c>
      <c r="CB94" s="248"/>
      <c r="CC94" s="249"/>
      <c r="CD94" s="248"/>
      <c r="CE94" s="250" t="s">
        <v>78</v>
      </c>
      <c r="CF94" s="254"/>
      <c r="CG94" s="252"/>
      <c r="CH94" s="252"/>
      <c r="CI94" s="252"/>
      <c r="CJ94" s="252"/>
      <c r="CK94" s="252"/>
      <c r="CL94" s="252"/>
      <c r="CM94" s="252"/>
      <c r="CN94" s="255" t="s">
        <v>85</v>
      </c>
      <c r="CO94" s="252"/>
      <c r="CP94" s="252"/>
      <c r="CQ94" s="252"/>
      <c r="CR94" s="253"/>
      <c r="CY94" s="247"/>
      <c r="CZ94" s="248"/>
      <c r="DA94" s="248"/>
      <c r="DB94" s="248"/>
      <c r="DC94" s="248"/>
      <c r="DD94" s="248"/>
      <c r="DE94" s="248"/>
      <c r="DF94" s="248"/>
      <c r="DG94" s="249" t="s">
        <v>85</v>
      </c>
      <c r="DH94" s="248"/>
      <c r="DI94" s="249"/>
      <c r="DJ94" s="248"/>
      <c r="DK94" s="250" t="s">
        <v>78</v>
      </c>
      <c r="DL94" s="254"/>
      <c r="DM94" s="252"/>
      <c r="DN94" s="252"/>
      <c r="DO94" s="252"/>
      <c r="DP94" s="252"/>
      <c r="DQ94" s="252"/>
      <c r="DR94" s="252"/>
      <c r="DS94" s="252"/>
      <c r="DT94" s="255" t="s">
        <v>85</v>
      </c>
      <c r="DU94" s="252"/>
      <c r="DV94" s="252"/>
      <c r="DW94" s="252"/>
      <c r="DX94" s="253"/>
      <c r="EE94" s="247"/>
      <c r="EF94" s="248"/>
      <c r="EG94" s="248"/>
      <c r="EH94" s="248"/>
      <c r="EI94" s="248"/>
      <c r="EJ94" s="248"/>
      <c r="EK94" s="248"/>
      <c r="EL94" s="248"/>
      <c r="EM94" s="249" t="s">
        <v>85</v>
      </c>
      <c r="EN94" s="248"/>
      <c r="EO94" s="249"/>
      <c r="EP94" s="248"/>
      <c r="EQ94" s="250" t="s">
        <v>78</v>
      </c>
      <c r="ER94" s="254"/>
      <c r="ES94" s="252"/>
      <c r="ET94" s="252"/>
      <c r="EU94" s="252"/>
      <c r="EV94" s="252"/>
      <c r="EW94" s="252"/>
      <c r="EX94" s="252"/>
      <c r="EY94" s="252"/>
      <c r="EZ94" s="255" t="s">
        <v>85</v>
      </c>
      <c r="FA94" s="252"/>
      <c r="FB94" s="252"/>
      <c r="FC94" s="252"/>
      <c r="FD94" s="253"/>
    </row>
    <row r="95" spans="7:160" ht="21.75" thickBot="1" x14ac:dyDescent="0.4">
      <c r="G95" s="247"/>
      <c r="H95" s="248"/>
      <c r="I95" s="248"/>
      <c r="J95" s="248"/>
      <c r="K95" s="248"/>
      <c r="L95" s="248"/>
      <c r="M95" s="248"/>
      <c r="N95" s="249" t="s">
        <v>86</v>
      </c>
      <c r="O95" s="248"/>
      <c r="P95" s="249"/>
      <c r="Q95" s="248"/>
      <c r="R95" s="248"/>
      <c r="S95" s="250" t="s">
        <v>78</v>
      </c>
      <c r="T95" s="254"/>
      <c r="U95" s="252"/>
      <c r="V95" s="252"/>
      <c r="W95" s="252"/>
      <c r="X95" s="252"/>
      <c r="Y95" s="252"/>
      <c r="Z95" s="252"/>
      <c r="AA95" s="255" t="s">
        <v>86</v>
      </c>
      <c r="AB95" s="252"/>
      <c r="AC95" s="252"/>
      <c r="AD95" s="252"/>
      <c r="AE95" s="252"/>
      <c r="AF95" s="253"/>
      <c r="AM95" s="247"/>
      <c r="AN95" s="248"/>
      <c r="AO95" s="248"/>
      <c r="AP95" s="248"/>
      <c r="AQ95" s="248"/>
      <c r="AR95" s="248"/>
      <c r="AS95" s="248"/>
      <c r="AT95" s="249" t="s">
        <v>86</v>
      </c>
      <c r="AU95" s="248"/>
      <c r="AV95" s="249"/>
      <c r="AW95" s="248"/>
      <c r="AX95" s="248"/>
      <c r="AY95" s="250" t="s">
        <v>78</v>
      </c>
      <c r="AZ95" s="254"/>
      <c r="BA95" s="252"/>
      <c r="BB95" s="252"/>
      <c r="BC95" s="252"/>
      <c r="BD95" s="252"/>
      <c r="BE95" s="252"/>
      <c r="BF95" s="252"/>
      <c r="BG95" s="255" t="s">
        <v>86</v>
      </c>
      <c r="BH95" s="252"/>
      <c r="BI95" s="252"/>
      <c r="BJ95" s="252"/>
      <c r="BK95" s="252"/>
      <c r="BL95" s="253"/>
      <c r="BS95" s="247"/>
      <c r="BT95" s="248"/>
      <c r="BU95" s="248"/>
      <c r="BV95" s="248"/>
      <c r="BW95" s="248"/>
      <c r="BX95" s="248"/>
      <c r="BY95" s="248"/>
      <c r="BZ95" s="249" t="s">
        <v>86</v>
      </c>
      <c r="CA95" s="248"/>
      <c r="CB95" s="249"/>
      <c r="CC95" s="248"/>
      <c r="CD95" s="248"/>
      <c r="CE95" s="250" t="s">
        <v>78</v>
      </c>
      <c r="CF95" s="254"/>
      <c r="CG95" s="252"/>
      <c r="CH95" s="252"/>
      <c r="CI95" s="252"/>
      <c r="CJ95" s="252"/>
      <c r="CK95" s="252"/>
      <c r="CL95" s="252"/>
      <c r="CM95" s="255" t="s">
        <v>86</v>
      </c>
      <c r="CN95" s="252"/>
      <c r="CO95" s="252"/>
      <c r="CP95" s="252"/>
      <c r="CQ95" s="252"/>
      <c r="CR95" s="253"/>
      <c r="CY95" s="247"/>
      <c r="CZ95" s="248"/>
      <c r="DA95" s="248"/>
      <c r="DB95" s="248"/>
      <c r="DC95" s="248"/>
      <c r="DD95" s="248"/>
      <c r="DE95" s="248"/>
      <c r="DF95" s="249" t="s">
        <v>86</v>
      </c>
      <c r="DG95" s="248"/>
      <c r="DH95" s="249"/>
      <c r="DI95" s="248"/>
      <c r="DJ95" s="248"/>
      <c r="DK95" s="250" t="s">
        <v>78</v>
      </c>
      <c r="DL95" s="254"/>
      <c r="DM95" s="252"/>
      <c r="DN95" s="252"/>
      <c r="DO95" s="252"/>
      <c r="DP95" s="252"/>
      <c r="DQ95" s="252"/>
      <c r="DR95" s="252"/>
      <c r="DS95" s="255" t="s">
        <v>86</v>
      </c>
      <c r="DT95" s="252"/>
      <c r="DU95" s="252"/>
      <c r="DV95" s="252"/>
      <c r="DW95" s="252"/>
      <c r="DX95" s="253"/>
      <c r="EE95" s="247"/>
      <c r="EF95" s="248"/>
      <c r="EG95" s="248"/>
      <c r="EH95" s="248"/>
      <c r="EI95" s="248"/>
      <c r="EJ95" s="248"/>
      <c r="EK95" s="248"/>
      <c r="EL95" s="249" t="s">
        <v>86</v>
      </c>
      <c r="EM95" s="248"/>
      <c r="EN95" s="249"/>
      <c r="EO95" s="248"/>
      <c r="EP95" s="248"/>
      <c r="EQ95" s="250" t="s">
        <v>78</v>
      </c>
      <c r="ER95" s="254"/>
      <c r="ES95" s="252"/>
      <c r="ET95" s="252"/>
      <c r="EU95" s="252"/>
      <c r="EV95" s="252"/>
      <c r="EW95" s="252"/>
      <c r="EX95" s="252"/>
      <c r="EY95" s="255" t="s">
        <v>86</v>
      </c>
      <c r="EZ95" s="252"/>
      <c r="FA95" s="252"/>
      <c r="FB95" s="252"/>
      <c r="FC95" s="252"/>
      <c r="FD95" s="253"/>
    </row>
    <row r="96" spans="7:160" ht="21.75" thickBot="1" x14ac:dyDescent="0.4">
      <c r="G96" s="247"/>
      <c r="H96" s="191" t="s">
        <v>32</v>
      </c>
      <c r="I96" s="257" t="s">
        <v>87</v>
      </c>
      <c r="J96" s="160" t="s">
        <v>69</v>
      </c>
      <c r="K96" s="249" t="s">
        <v>88</v>
      </c>
      <c r="L96" s="248"/>
      <c r="M96" s="248"/>
      <c r="N96" s="248"/>
      <c r="O96" s="249"/>
      <c r="P96" s="248"/>
      <c r="Q96" s="248"/>
      <c r="R96" s="248"/>
      <c r="S96" s="250" t="s">
        <v>78</v>
      </c>
      <c r="T96" s="254"/>
      <c r="U96" s="191" t="s">
        <v>32</v>
      </c>
      <c r="V96" s="257" t="s">
        <v>87</v>
      </c>
      <c r="W96" s="160" t="s">
        <v>69</v>
      </c>
      <c r="X96" s="255" t="s">
        <v>88</v>
      </c>
      <c r="Y96" s="252"/>
      <c r="Z96" s="252"/>
      <c r="AA96" s="252"/>
      <c r="AB96" s="255"/>
      <c r="AC96" s="252"/>
      <c r="AD96" s="252"/>
      <c r="AE96" s="252"/>
      <c r="AF96" s="253"/>
      <c r="AM96" s="247"/>
      <c r="AN96" s="191" t="s">
        <v>32</v>
      </c>
      <c r="AO96" s="257" t="s">
        <v>87</v>
      </c>
      <c r="AP96" s="160" t="s">
        <v>69</v>
      </c>
      <c r="AQ96" s="249" t="s">
        <v>88</v>
      </c>
      <c r="AR96" s="248"/>
      <c r="AS96" s="248"/>
      <c r="AT96" s="248"/>
      <c r="AU96" s="249"/>
      <c r="AV96" s="248"/>
      <c r="AW96" s="248"/>
      <c r="AX96" s="248"/>
      <c r="AY96" s="250" t="s">
        <v>78</v>
      </c>
      <c r="AZ96" s="254"/>
      <c r="BA96" s="191" t="s">
        <v>32</v>
      </c>
      <c r="BB96" s="257" t="s">
        <v>87</v>
      </c>
      <c r="BC96" s="160" t="s">
        <v>69</v>
      </c>
      <c r="BD96" s="255" t="s">
        <v>88</v>
      </c>
      <c r="BE96" s="252"/>
      <c r="BF96" s="252"/>
      <c r="BG96" s="252"/>
      <c r="BH96" s="255"/>
      <c r="BI96" s="252"/>
      <c r="BJ96" s="252"/>
      <c r="BK96" s="252"/>
      <c r="BL96" s="253"/>
      <c r="BS96" s="247"/>
      <c r="BT96" s="191" t="s">
        <v>32</v>
      </c>
      <c r="BU96" s="257" t="s">
        <v>87</v>
      </c>
      <c r="BV96" s="160" t="s">
        <v>69</v>
      </c>
      <c r="BW96" s="249" t="s">
        <v>88</v>
      </c>
      <c r="BX96" s="248"/>
      <c r="BY96" s="248"/>
      <c r="BZ96" s="248"/>
      <c r="CA96" s="249"/>
      <c r="CB96" s="248"/>
      <c r="CC96" s="248"/>
      <c r="CD96" s="248"/>
      <c r="CE96" s="250" t="s">
        <v>78</v>
      </c>
      <c r="CF96" s="254"/>
      <c r="CG96" s="191" t="s">
        <v>32</v>
      </c>
      <c r="CH96" s="257" t="s">
        <v>87</v>
      </c>
      <c r="CI96" s="160" t="s">
        <v>69</v>
      </c>
      <c r="CJ96" s="255" t="s">
        <v>88</v>
      </c>
      <c r="CK96" s="252"/>
      <c r="CL96" s="252"/>
      <c r="CM96" s="252"/>
      <c r="CN96" s="255"/>
      <c r="CO96" s="252"/>
      <c r="CP96" s="252"/>
      <c r="CQ96" s="252"/>
      <c r="CR96" s="253"/>
      <c r="CY96" s="247"/>
      <c r="CZ96" s="191" t="s">
        <v>32</v>
      </c>
      <c r="DA96" s="257" t="s">
        <v>87</v>
      </c>
      <c r="DB96" s="160" t="s">
        <v>69</v>
      </c>
      <c r="DC96" s="249" t="s">
        <v>88</v>
      </c>
      <c r="DD96" s="248"/>
      <c r="DE96" s="248"/>
      <c r="DF96" s="248"/>
      <c r="DG96" s="249"/>
      <c r="DH96" s="248"/>
      <c r="DI96" s="248"/>
      <c r="DJ96" s="248"/>
      <c r="DK96" s="250" t="s">
        <v>78</v>
      </c>
      <c r="DL96" s="254"/>
      <c r="DM96" s="191" t="s">
        <v>32</v>
      </c>
      <c r="DN96" s="257" t="s">
        <v>87</v>
      </c>
      <c r="DO96" s="160" t="s">
        <v>69</v>
      </c>
      <c r="DP96" s="255" t="s">
        <v>88</v>
      </c>
      <c r="DQ96" s="252"/>
      <c r="DR96" s="252"/>
      <c r="DS96" s="252"/>
      <c r="DT96" s="255"/>
      <c r="DU96" s="252"/>
      <c r="DV96" s="252"/>
      <c r="DW96" s="252"/>
      <c r="DX96" s="253"/>
      <c r="EE96" s="247"/>
      <c r="EF96" s="191" t="s">
        <v>32</v>
      </c>
      <c r="EG96" s="257" t="s">
        <v>87</v>
      </c>
      <c r="EH96" s="160" t="s">
        <v>69</v>
      </c>
      <c r="EI96" s="249" t="s">
        <v>88</v>
      </c>
      <c r="EJ96" s="248"/>
      <c r="EK96" s="248"/>
      <c r="EL96" s="248"/>
      <c r="EM96" s="249"/>
      <c r="EN96" s="248"/>
      <c r="EO96" s="248"/>
      <c r="EP96" s="248"/>
      <c r="EQ96" s="250" t="s">
        <v>78</v>
      </c>
      <c r="ER96" s="254"/>
      <c r="ES96" s="191" t="s">
        <v>32</v>
      </c>
      <c r="ET96" s="257" t="s">
        <v>87</v>
      </c>
      <c r="EU96" s="160" t="s">
        <v>69</v>
      </c>
      <c r="EV96" s="255" t="s">
        <v>88</v>
      </c>
      <c r="EW96" s="252"/>
      <c r="EX96" s="252"/>
      <c r="EY96" s="252"/>
      <c r="EZ96" s="255"/>
      <c r="FA96" s="252"/>
      <c r="FB96" s="252"/>
      <c r="FC96" s="252"/>
      <c r="FD96" s="253"/>
    </row>
    <row r="97" spans="5:160" ht="21" x14ac:dyDescent="0.35">
      <c r="G97" s="247"/>
      <c r="H97" s="248"/>
      <c r="I97" s="195" t="s">
        <v>81</v>
      </c>
      <c r="J97" s="224" t="e">
        <f>IF($E$22="","N/a",O90-J90)</f>
        <v>#N/A</v>
      </c>
      <c r="K97" s="248"/>
      <c r="L97" s="248"/>
      <c r="M97" s="248"/>
      <c r="N97" s="249"/>
      <c r="O97" s="248"/>
      <c r="P97" s="248"/>
      <c r="Q97" s="248"/>
      <c r="R97" s="248"/>
      <c r="S97" s="250" t="s">
        <v>78</v>
      </c>
      <c r="T97" s="254"/>
      <c r="U97" s="252"/>
      <c r="V97" s="195" t="s">
        <v>81</v>
      </c>
      <c r="W97" s="224" t="e">
        <f>IF($E$16="","N/a",IF(J97="N/a","N/a",$E$16*J97))</f>
        <v>#N/A</v>
      </c>
      <c r="X97" s="252"/>
      <c r="Y97" s="252"/>
      <c r="Z97" s="252"/>
      <c r="AA97" s="252"/>
      <c r="AB97" s="252"/>
      <c r="AC97" s="252"/>
      <c r="AD97" s="252"/>
      <c r="AE97" s="252"/>
      <c r="AF97" s="253"/>
      <c r="AM97" s="247"/>
      <c r="AN97" s="248"/>
      <c r="AO97" s="195" t="s">
        <v>81</v>
      </c>
      <c r="AP97" s="224">
        <f>IF($E$22="","N/a",AU90-AP90)</f>
        <v>-491.70000000000005</v>
      </c>
      <c r="AQ97" s="248"/>
      <c r="AR97" s="248"/>
      <c r="AS97" s="248"/>
      <c r="AT97" s="249"/>
      <c r="AU97" s="248"/>
      <c r="AV97" s="248"/>
      <c r="AW97" s="248"/>
      <c r="AX97" s="248"/>
      <c r="AY97" s="250" t="s">
        <v>78</v>
      </c>
      <c r="AZ97" s="254"/>
      <c r="BA97" s="252"/>
      <c r="BB97" s="195" t="s">
        <v>81</v>
      </c>
      <c r="BC97" s="224">
        <f>IF(AK21="","N/a",IF(AP97="N/a","N/a",AK21*AP97))</f>
        <v>-4917</v>
      </c>
      <c r="BD97" s="252"/>
      <c r="BE97" s="252"/>
      <c r="BF97" s="252"/>
      <c r="BG97" s="252"/>
      <c r="BH97" s="252"/>
      <c r="BI97" s="252"/>
      <c r="BJ97" s="252"/>
      <c r="BK97" s="252"/>
      <c r="BL97" s="253"/>
      <c r="BS97" s="247"/>
      <c r="BT97" s="248"/>
      <c r="BU97" s="195" t="s">
        <v>81</v>
      </c>
      <c r="BV97" s="224" t="e">
        <f>IF($E$22="","N/a",CA90-BV90)</f>
        <v>#VALUE!</v>
      </c>
      <c r="BW97" s="248"/>
      <c r="BX97" s="248"/>
      <c r="BY97" s="248"/>
      <c r="BZ97" s="249"/>
      <c r="CA97" s="248"/>
      <c r="CB97" s="248"/>
      <c r="CC97" s="248"/>
      <c r="CD97" s="248"/>
      <c r="CE97" s="250" t="s">
        <v>78</v>
      </c>
      <c r="CF97" s="254"/>
      <c r="CG97" s="252"/>
      <c r="CH97" s="195" t="s">
        <v>81</v>
      </c>
      <c r="CI97" s="224" t="str">
        <f>IF(BQ21="","N/a",IF(BV97="N/a","N/a",BQ21*BV97))</f>
        <v>N/a</v>
      </c>
      <c r="CJ97" s="252"/>
      <c r="CK97" s="252"/>
      <c r="CL97" s="252"/>
      <c r="CM97" s="252"/>
      <c r="CN97" s="252"/>
      <c r="CO97" s="252"/>
      <c r="CP97" s="252"/>
      <c r="CQ97" s="252"/>
      <c r="CR97" s="253"/>
      <c r="CY97" s="247"/>
      <c r="CZ97" s="248"/>
      <c r="DA97" s="195" t="s">
        <v>81</v>
      </c>
      <c r="DB97" s="224" t="e">
        <f>IF($E$22="","N/a",DG90-DB90)</f>
        <v>#VALUE!</v>
      </c>
      <c r="DC97" s="248"/>
      <c r="DD97" s="248"/>
      <c r="DE97" s="248"/>
      <c r="DF97" s="249"/>
      <c r="DG97" s="248"/>
      <c r="DH97" s="248"/>
      <c r="DI97" s="248"/>
      <c r="DJ97" s="248"/>
      <c r="DK97" s="250" t="s">
        <v>78</v>
      </c>
      <c r="DL97" s="254"/>
      <c r="DM97" s="252"/>
      <c r="DN97" s="195" t="s">
        <v>81</v>
      </c>
      <c r="DO97" s="224" t="str">
        <f>IF(CW21="","N/a",IF(DB97="N/a","N/a",CW21*DB97))</f>
        <v>N/a</v>
      </c>
      <c r="DP97" s="252"/>
      <c r="DQ97" s="252"/>
      <c r="DR97" s="252"/>
      <c r="DS97" s="252"/>
      <c r="DT97" s="252"/>
      <c r="DU97" s="252"/>
      <c r="DV97" s="252"/>
      <c r="DW97" s="252"/>
      <c r="DX97" s="253"/>
      <c r="EE97" s="247"/>
      <c r="EF97" s="248"/>
      <c r="EG97" s="195" t="s">
        <v>81</v>
      </c>
      <c r="EH97" s="224" t="e">
        <f>IF($E$22="","N/a",EM90-EH90)</f>
        <v>#VALUE!</v>
      </c>
      <c r="EI97" s="248"/>
      <c r="EJ97" s="248"/>
      <c r="EK97" s="248"/>
      <c r="EL97" s="249"/>
      <c r="EM97" s="248"/>
      <c r="EN97" s="248"/>
      <c r="EO97" s="248"/>
      <c r="EP97" s="248"/>
      <c r="EQ97" s="250" t="s">
        <v>78</v>
      </c>
      <c r="ER97" s="254"/>
      <c r="ES97" s="252"/>
      <c r="ET97" s="195" t="s">
        <v>81</v>
      </c>
      <c r="EU97" s="224" t="str">
        <f>IF(EC21="","N/a",IF(EH97="N/a","N/a",EC21*EH97))</f>
        <v>N/a</v>
      </c>
      <c r="EV97" s="252"/>
      <c r="EW97" s="252"/>
      <c r="EX97" s="252"/>
      <c r="EY97" s="252"/>
      <c r="EZ97" s="252"/>
      <c r="FA97" s="252"/>
      <c r="FB97" s="252"/>
      <c r="FC97" s="252"/>
      <c r="FD97" s="253"/>
    </row>
    <row r="98" spans="5:160" ht="21" x14ac:dyDescent="0.35">
      <c r="G98" s="247"/>
      <c r="H98" s="248"/>
      <c r="I98" s="195" t="s">
        <v>82</v>
      </c>
      <c r="J98" s="155" t="e">
        <f t="shared" ref="J98:J99" si="14">IF($E$22="","N/a",O91-J91)</f>
        <v>#N/A</v>
      </c>
      <c r="K98" s="248"/>
      <c r="L98" s="248"/>
      <c r="M98" s="249"/>
      <c r="N98" s="248"/>
      <c r="O98" s="248"/>
      <c r="P98" s="248"/>
      <c r="Q98" s="248"/>
      <c r="R98" s="248"/>
      <c r="S98" s="250" t="s">
        <v>78</v>
      </c>
      <c r="T98" s="254"/>
      <c r="U98" s="252"/>
      <c r="V98" s="195" t="s">
        <v>82</v>
      </c>
      <c r="W98" s="155" t="e">
        <f t="shared" ref="W98:W100" si="15">IF($E$16="","N/a",IF(J98="N/a","N/a",$E$16*J98))</f>
        <v>#N/A</v>
      </c>
      <c r="X98" s="252"/>
      <c r="Y98" s="252"/>
      <c r="Z98" s="252"/>
      <c r="AA98" s="252"/>
      <c r="AB98" s="252"/>
      <c r="AC98" s="252"/>
      <c r="AD98" s="252"/>
      <c r="AE98" s="252"/>
      <c r="AF98" s="253"/>
      <c r="AM98" s="247"/>
      <c r="AN98" s="248"/>
      <c r="AO98" s="195" t="s">
        <v>82</v>
      </c>
      <c r="AP98" s="155">
        <f t="shared" ref="AP98:AP99" si="16">IF($E$22="","N/a",AU91-AP91)</f>
        <v>59.040038056657963</v>
      </c>
      <c r="AQ98" s="248"/>
      <c r="AR98" s="248"/>
      <c r="AS98" s="249"/>
      <c r="AT98" s="248"/>
      <c r="AU98" s="248"/>
      <c r="AV98" s="248"/>
      <c r="AW98" s="248"/>
      <c r="AX98" s="248"/>
      <c r="AY98" s="250" t="s">
        <v>78</v>
      </c>
      <c r="AZ98" s="254"/>
      <c r="BA98" s="252"/>
      <c r="BB98" s="195" t="s">
        <v>82</v>
      </c>
      <c r="BC98" s="155">
        <f>IF(AK21="","N/a",IF(AP98="N/a","N/a",AK21*AP98))</f>
        <v>590.40038056657966</v>
      </c>
      <c r="BD98" s="252"/>
      <c r="BE98" s="252"/>
      <c r="BF98" s="252"/>
      <c r="BG98" s="252"/>
      <c r="BH98" s="252"/>
      <c r="BI98" s="252"/>
      <c r="BJ98" s="252"/>
      <c r="BK98" s="252"/>
      <c r="BL98" s="253"/>
      <c r="BS98" s="247"/>
      <c r="BT98" s="248"/>
      <c r="BU98" s="195" t="s">
        <v>82</v>
      </c>
      <c r="BV98" s="155" t="e">
        <f t="shared" ref="BV98:BV99" si="17">IF($E$22="","N/a",CA91-BV91)</f>
        <v>#VALUE!</v>
      </c>
      <c r="BW98" s="248"/>
      <c r="BX98" s="248"/>
      <c r="BY98" s="249"/>
      <c r="BZ98" s="248"/>
      <c r="CA98" s="248"/>
      <c r="CB98" s="248"/>
      <c r="CC98" s="248"/>
      <c r="CD98" s="248"/>
      <c r="CE98" s="250" t="s">
        <v>78</v>
      </c>
      <c r="CF98" s="254"/>
      <c r="CG98" s="252"/>
      <c r="CH98" s="195" t="s">
        <v>82</v>
      </c>
      <c r="CI98" s="155" t="str">
        <f>IF(BQ21="","N/a",IF(BV98="N/a","N/a",BQ21*BV98))</f>
        <v>N/a</v>
      </c>
      <c r="CJ98" s="252"/>
      <c r="CK98" s="252"/>
      <c r="CL98" s="252"/>
      <c r="CM98" s="252"/>
      <c r="CN98" s="252"/>
      <c r="CO98" s="252"/>
      <c r="CP98" s="252"/>
      <c r="CQ98" s="252"/>
      <c r="CR98" s="253"/>
      <c r="CY98" s="247"/>
      <c r="CZ98" s="248"/>
      <c r="DA98" s="195" t="s">
        <v>82</v>
      </c>
      <c r="DB98" s="155" t="e">
        <f t="shared" ref="DB98:DB99" si="18">IF($E$22="","N/a",DG91-DB91)</f>
        <v>#VALUE!</v>
      </c>
      <c r="DC98" s="248"/>
      <c r="DD98" s="248"/>
      <c r="DE98" s="249"/>
      <c r="DF98" s="248"/>
      <c r="DG98" s="248"/>
      <c r="DH98" s="248"/>
      <c r="DI98" s="248"/>
      <c r="DJ98" s="248"/>
      <c r="DK98" s="250" t="s">
        <v>78</v>
      </c>
      <c r="DL98" s="254"/>
      <c r="DM98" s="252"/>
      <c r="DN98" s="195" t="s">
        <v>82</v>
      </c>
      <c r="DO98" s="155" t="str">
        <f>IF(CW21="","N/a",IF(DB98="N/a","N/a",CW21*DB98))</f>
        <v>N/a</v>
      </c>
      <c r="DP98" s="252"/>
      <c r="DQ98" s="252"/>
      <c r="DR98" s="252"/>
      <c r="DS98" s="252"/>
      <c r="DT98" s="252"/>
      <c r="DU98" s="252"/>
      <c r="DV98" s="252"/>
      <c r="DW98" s="252"/>
      <c r="DX98" s="253"/>
      <c r="EE98" s="247"/>
      <c r="EF98" s="248"/>
      <c r="EG98" s="195" t="s">
        <v>82</v>
      </c>
      <c r="EH98" s="155" t="e">
        <f t="shared" ref="EH98:EH99" si="19">IF($E$22="","N/a",EM91-EH91)</f>
        <v>#VALUE!</v>
      </c>
      <c r="EI98" s="248"/>
      <c r="EJ98" s="248"/>
      <c r="EK98" s="249"/>
      <c r="EL98" s="248"/>
      <c r="EM98" s="248"/>
      <c r="EN98" s="248"/>
      <c r="EO98" s="248"/>
      <c r="EP98" s="248"/>
      <c r="EQ98" s="250" t="s">
        <v>78</v>
      </c>
      <c r="ER98" s="254"/>
      <c r="ES98" s="252"/>
      <c r="ET98" s="195" t="s">
        <v>82</v>
      </c>
      <c r="EU98" s="155" t="str">
        <f>IF(EC21="","N/a",IF(EH98="N/a","N/a",EC21*EH98))</f>
        <v>N/a</v>
      </c>
      <c r="EV98" s="252"/>
      <c r="EW98" s="252"/>
      <c r="EX98" s="252"/>
      <c r="EY98" s="252"/>
      <c r="EZ98" s="252"/>
      <c r="FA98" s="252"/>
      <c r="FB98" s="252"/>
      <c r="FC98" s="252"/>
      <c r="FD98" s="253"/>
    </row>
    <row r="99" spans="5:160" ht="21" x14ac:dyDescent="0.35">
      <c r="G99" s="247"/>
      <c r="H99" s="248"/>
      <c r="I99" s="195" t="s">
        <v>83</v>
      </c>
      <c r="J99" s="155">
        <f t="shared" si="14"/>
        <v>0</v>
      </c>
      <c r="K99" s="248"/>
      <c r="L99" s="249"/>
      <c r="M99" s="248"/>
      <c r="N99" s="258"/>
      <c r="O99" s="248"/>
      <c r="P99" s="248"/>
      <c r="Q99" s="248"/>
      <c r="R99" s="248"/>
      <c r="S99" s="250" t="s">
        <v>78</v>
      </c>
      <c r="T99" s="254"/>
      <c r="U99" s="252"/>
      <c r="V99" s="195" t="s">
        <v>83</v>
      </c>
      <c r="W99" s="155">
        <f t="shared" si="15"/>
        <v>0</v>
      </c>
      <c r="X99" s="252"/>
      <c r="Y99" s="252"/>
      <c r="Z99" s="252"/>
      <c r="AA99" s="252"/>
      <c r="AB99" s="252"/>
      <c r="AC99" s="252"/>
      <c r="AD99" s="252"/>
      <c r="AE99" s="252"/>
      <c r="AF99" s="253"/>
      <c r="AM99" s="247"/>
      <c r="AN99" s="248"/>
      <c r="AO99" s="195" t="s">
        <v>83</v>
      </c>
      <c r="AP99" s="155">
        <f t="shared" si="16"/>
        <v>-322.02421428571438</v>
      </c>
      <c r="AQ99" s="248"/>
      <c r="AR99" s="249"/>
      <c r="AS99" s="248"/>
      <c r="AT99" s="258"/>
      <c r="AU99" s="248"/>
      <c r="AV99" s="248"/>
      <c r="AW99" s="248"/>
      <c r="AX99" s="248"/>
      <c r="AY99" s="250" t="s">
        <v>78</v>
      </c>
      <c r="AZ99" s="254"/>
      <c r="BA99" s="252"/>
      <c r="BB99" s="195" t="s">
        <v>83</v>
      </c>
      <c r="BC99" s="155">
        <f>IF(AK21="","N/a",IF(AP99="N/a","N/a",AK21*AP99))</f>
        <v>-3220.2421428571438</v>
      </c>
      <c r="BD99" s="252"/>
      <c r="BE99" s="252"/>
      <c r="BF99" s="252"/>
      <c r="BG99" s="252"/>
      <c r="BH99" s="252"/>
      <c r="BI99" s="252"/>
      <c r="BJ99" s="252"/>
      <c r="BK99" s="252"/>
      <c r="BL99" s="253"/>
      <c r="BS99" s="247"/>
      <c r="BT99" s="248"/>
      <c r="BU99" s="195" t="s">
        <v>83</v>
      </c>
      <c r="BV99" s="155" t="e">
        <f t="shared" si="17"/>
        <v>#VALUE!</v>
      </c>
      <c r="BW99" s="248"/>
      <c r="BX99" s="249"/>
      <c r="BY99" s="248"/>
      <c r="BZ99" s="258"/>
      <c r="CA99" s="248"/>
      <c r="CB99" s="248"/>
      <c r="CC99" s="248"/>
      <c r="CD99" s="248"/>
      <c r="CE99" s="250" t="s">
        <v>78</v>
      </c>
      <c r="CF99" s="254"/>
      <c r="CG99" s="252"/>
      <c r="CH99" s="195" t="s">
        <v>83</v>
      </c>
      <c r="CI99" s="155" t="str">
        <f>IF(BQ21="","N/a",IF(BV99="N/a","N/a",BQ21*BV99))</f>
        <v>N/a</v>
      </c>
      <c r="CJ99" s="252"/>
      <c r="CK99" s="252"/>
      <c r="CL99" s="252"/>
      <c r="CM99" s="252"/>
      <c r="CN99" s="252"/>
      <c r="CO99" s="252"/>
      <c r="CP99" s="252"/>
      <c r="CQ99" s="252"/>
      <c r="CR99" s="253"/>
      <c r="CY99" s="247"/>
      <c r="CZ99" s="248"/>
      <c r="DA99" s="195" t="s">
        <v>83</v>
      </c>
      <c r="DB99" s="155" t="e">
        <f t="shared" si="18"/>
        <v>#VALUE!</v>
      </c>
      <c r="DC99" s="248"/>
      <c r="DD99" s="249"/>
      <c r="DE99" s="248"/>
      <c r="DF99" s="258"/>
      <c r="DG99" s="248"/>
      <c r="DH99" s="248"/>
      <c r="DI99" s="248"/>
      <c r="DJ99" s="248"/>
      <c r="DK99" s="250" t="s">
        <v>78</v>
      </c>
      <c r="DL99" s="254"/>
      <c r="DM99" s="252"/>
      <c r="DN99" s="195" t="s">
        <v>83</v>
      </c>
      <c r="DO99" s="155" t="str">
        <f>IF(CW21="","N/a",IF(DB99="N/a","N/a",CW21*DB99))</f>
        <v>N/a</v>
      </c>
      <c r="DP99" s="252"/>
      <c r="DQ99" s="252"/>
      <c r="DR99" s="252"/>
      <c r="DS99" s="252"/>
      <c r="DT99" s="252"/>
      <c r="DU99" s="252"/>
      <c r="DV99" s="252"/>
      <c r="DW99" s="252"/>
      <c r="DX99" s="253"/>
      <c r="EE99" s="247"/>
      <c r="EF99" s="248"/>
      <c r="EG99" s="195" t="s">
        <v>83</v>
      </c>
      <c r="EH99" s="155" t="e">
        <f t="shared" si="19"/>
        <v>#VALUE!</v>
      </c>
      <c r="EI99" s="248"/>
      <c r="EJ99" s="249"/>
      <c r="EK99" s="248"/>
      <c r="EL99" s="258"/>
      <c r="EM99" s="248"/>
      <c r="EN99" s="248"/>
      <c r="EO99" s="248"/>
      <c r="EP99" s="248"/>
      <c r="EQ99" s="250" t="s">
        <v>78</v>
      </c>
      <c r="ER99" s="254"/>
      <c r="ES99" s="252"/>
      <c r="ET99" s="195" t="s">
        <v>83</v>
      </c>
      <c r="EU99" s="155" t="str">
        <f>IF(EC21="","N/a",IF(EH99="N/a","N/a",EC21*EH99))</f>
        <v>N/a</v>
      </c>
      <c r="EV99" s="252"/>
      <c r="EW99" s="252"/>
      <c r="EX99" s="252"/>
      <c r="EY99" s="252"/>
      <c r="EZ99" s="252"/>
      <c r="FA99" s="252"/>
      <c r="FB99" s="252"/>
      <c r="FC99" s="252"/>
      <c r="FD99" s="253"/>
    </row>
    <row r="100" spans="5:160" ht="21.75" thickBot="1" x14ac:dyDescent="0.4">
      <c r="G100" s="247"/>
      <c r="H100" s="248"/>
      <c r="I100" s="259" t="s">
        <v>89</v>
      </c>
      <c r="J100" s="226" t="e">
        <f>IF($E$22="","N/a",O93-J93)</f>
        <v>#N/A</v>
      </c>
      <c r="K100" s="249" t="s">
        <v>90</v>
      </c>
      <c r="L100" s="248"/>
      <c r="M100" s="248"/>
      <c r="N100" s="258"/>
      <c r="O100" s="248"/>
      <c r="P100" s="248"/>
      <c r="Q100" s="248"/>
      <c r="R100" s="248"/>
      <c r="S100" s="260"/>
      <c r="T100" s="254"/>
      <c r="U100" s="252"/>
      <c r="V100" s="259" t="s">
        <v>91</v>
      </c>
      <c r="W100" s="226" t="e">
        <f t="shared" si="15"/>
        <v>#N/A</v>
      </c>
      <c r="X100" s="252"/>
      <c r="Y100" s="252"/>
      <c r="Z100" s="252"/>
      <c r="AA100" s="252"/>
      <c r="AB100" s="252"/>
      <c r="AC100" s="252"/>
      <c r="AD100" s="252"/>
      <c r="AE100" s="252"/>
      <c r="AF100" s="253"/>
      <c r="AM100" s="247"/>
      <c r="AN100" s="248"/>
      <c r="AO100" s="259" t="s">
        <v>89</v>
      </c>
      <c r="AP100" s="226">
        <f>IF($E$22="","N/a",AU93-AP93)</f>
        <v>-754.68417622905645</v>
      </c>
      <c r="AQ100" s="249" t="s">
        <v>90</v>
      </c>
      <c r="AR100" s="248"/>
      <c r="AS100" s="248"/>
      <c r="AT100" s="258"/>
      <c r="AU100" s="248"/>
      <c r="AV100" s="248"/>
      <c r="AW100" s="248"/>
      <c r="AX100" s="248"/>
      <c r="AY100" s="260"/>
      <c r="AZ100" s="254"/>
      <c r="BA100" s="252"/>
      <c r="BB100" s="259" t="s">
        <v>91</v>
      </c>
      <c r="BC100" s="226">
        <f>IF(AK21="","N/a",IF(AP100="N/a","N/a",AK21*AP100))</f>
        <v>-7546.8417622905645</v>
      </c>
      <c r="BD100" s="252"/>
      <c r="BE100" s="252"/>
      <c r="BF100" s="252"/>
      <c r="BG100" s="252"/>
      <c r="BH100" s="252"/>
      <c r="BI100" s="252"/>
      <c r="BJ100" s="252"/>
      <c r="BK100" s="252"/>
      <c r="BL100" s="253"/>
      <c r="BS100" s="247"/>
      <c r="BT100" s="248"/>
      <c r="BU100" s="259" t="s">
        <v>89</v>
      </c>
      <c r="BV100" s="226" t="e">
        <f>IF($E$22="","N/a",CA93-BV93)</f>
        <v>#VALUE!</v>
      </c>
      <c r="BW100" s="249" t="s">
        <v>90</v>
      </c>
      <c r="BX100" s="248"/>
      <c r="BY100" s="248"/>
      <c r="BZ100" s="258"/>
      <c r="CA100" s="248"/>
      <c r="CB100" s="248"/>
      <c r="CC100" s="248"/>
      <c r="CD100" s="248"/>
      <c r="CE100" s="260"/>
      <c r="CF100" s="254"/>
      <c r="CG100" s="252"/>
      <c r="CH100" s="259" t="s">
        <v>91</v>
      </c>
      <c r="CI100" s="226" t="str">
        <f>IF(BQ21="","N/a",IF(BV100="N/a","N/a",BQ21*BV100))</f>
        <v>N/a</v>
      </c>
      <c r="CJ100" s="252"/>
      <c r="CK100" s="252"/>
      <c r="CL100" s="252"/>
      <c r="CM100" s="252"/>
      <c r="CN100" s="252"/>
      <c r="CO100" s="252"/>
      <c r="CP100" s="252"/>
      <c r="CQ100" s="252"/>
      <c r="CR100" s="253"/>
      <c r="CY100" s="247"/>
      <c r="CZ100" s="248"/>
      <c r="DA100" s="259" t="s">
        <v>89</v>
      </c>
      <c r="DB100" s="226" t="e">
        <f>IF($E$22="","N/a",DG93-DB93)</f>
        <v>#VALUE!</v>
      </c>
      <c r="DC100" s="249" t="s">
        <v>90</v>
      </c>
      <c r="DD100" s="248"/>
      <c r="DE100" s="248"/>
      <c r="DF100" s="258"/>
      <c r="DG100" s="248"/>
      <c r="DH100" s="248"/>
      <c r="DI100" s="248"/>
      <c r="DJ100" s="248"/>
      <c r="DK100" s="260"/>
      <c r="DL100" s="254"/>
      <c r="DM100" s="252"/>
      <c r="DN100" s="259" t="s">
        <v>91</v>
      </c>
      <c r="DO100" s="226" t="str">
        <f>IF(CW21="","N/a",IF(DB100="N/a","N/a",CW21*DB100))</f>
        <v>N/a</v>
      </c>
      <c r="DP100" s="252"/>
      <c r="DQ100" s="252"/>
      <c r="DR100" s="252"/>
      <c r="DS100" s="252"/>
      <c r="DT100" s="252"/>
      <c r="DU100" s="252"/>
      <c r="DV100" s="252"/>
      <c r="DW100" s="252"/>
      <c r="DX100" s="253"/>
      <c r="EE100" s="247"/>
      <c r="EF100" s="248"/>
      <c r="EG100" s="259" t="s">
        <v>89</v>
      </c>
      <c r="EH100" s="226" t="e">
        <f>IF($E$22="","N/a",EM93-EH93)</f>
        <v>#VALUE!</v>
      </c>
      <c r="EI100" s="249" t="s">
        <v>90</v>
      </c>
      <c r="EJ100" s="248"/>
      <c r="EK100" s="248"/>
      <c r="EL100" s="258"/>
      <c r="EM100" s="248"/>
      <c r="EN100" s="248"/>
      <c r="EO100" s="248"/>
      <c r="EP100" s="248"/>
      <c r="EQ100" s="260"/>
      <c r="ER100" s="254"/>
      <c r="ES100" s="252"/>
      <c r="ET100" s="259" t="s">
        <v>91</v>
      </c>
      <c r="EU100" s="226" t="str">
        <f>IF(EC21="","N/a",IF(EH100="N/a","N/a",EC21*EH100))</f>
        <v>N/a</v>
      </c>
      <c r="EV100" s="252"/>
      <c r="EW100" s="252"/>
      <c r="EX100" s="252"/>
      <c r="EY100" s="252"/>
      <c r="EZ100" s="252"/>
      <c r="FA100" s="252"/>
      <c r="FB100" s="252"/>
      <c r="FC100" s="252"/>
      <c r="FD100" s="253"/>
    </row>
    <row r="101" spans="5:160" ht="15.75" thickBot="1" x14ac:dyDescent="0.3">
      <c r="G101" s="261"/>
      <c r="H101" s="262"/>
      <c r="I101" s="262"/>
      <c r="J101" s="262"/>
      <c r="K101" s="262"/>
      <c r="L101" s="262"/>
      <c r="M101" s="262"/>
      <c r="N101" s="262"/>
      <c r="O101" s="262"/>
      <c r="P101" s="262"/>
      <c r="Q101" s="262"/>
      <c r="R101" s="262"/>
      <c r="S101" s="263"/>
      <c r="T101" s="264"/>
      <c r="U101" s="265"/>
      <c r="V101" s="265"/>
      <c r="W101" s="265"/>
      <c r="X101" s="265"/>
      <c r="Y101" s="265"/>
      <c r="Z101" s="265"/>
      <c r="AA101" s="265"/>
      <c r="AB101" s="265"/>
      <c r="AC101" s="265"/>
      <c r="AD101" s="265"/>
      <c r="AE101" s="265"/>
      <c r="AF101" s="266"/>
      <c r="AM101" s="261"/>
      <c r="AN101" s="262"/>
      <c r="AO101" s="262"/>
      <c r="AP101" s="262"/>
      <c r="AQ101" s="262"/>
      <c r="AR101" s="262"/>
      <c r="AS101" s="262"/>
      <c r="AT101" s="262"/>
      <c r="AU101" s="262"/>
      <c r="AV101" s="262"/>
      <c r="AW101" s="262"/>
      <c r="AX101" s="262"/>
      <c r="AY101" s="263"/>
      <c r="AZ101" s="264"/>
      <c r="BA101" s="265"/>
      <c r="BB101" s="265"/>
      <c r="BC101" s="265"/>
      <c r="BD101" s="265"/>
      <c r="BE101" s="265"/>
      <c r="BF101" s="265"/>
      <c r="BG101" s="265"/>
      <c r="BH101" s="265"/>
      <c r="BI101" s="265"/>
      <c r="BJ101" s="265"/>
      <c r="BK101" s="265"/>
      <c r="BL101" s="266"/>
      <c r="BS101" s="261"/>
      <c r="BT101" s="262"/>
      <c r="BU101" s="262"/>
      <c r="BV101" s="262"/>
      <c r="BW101" s="262"/>
      <c r="BX101" s="262"/>
      <c r="BY101" s="262"/>
      <c r="BZ101" s="262"/>
      <c r="CA101" s="262"/>
      <c r="CB101" s="262"/>
      <c r="CC101" s="262"/>
      <c r="CD101" s="262"/>
      <c r="CE101" s="263"/>
      <c r="CF101" s="264"/>
      <c r="CG101" s="265"/>
      <c r="CH101" s="265"/>
      <c r="CI101" s="265"/>
      <c r="CJ101" s="265"/>
      <c r="CK101" s="265"/>
      <c r="CL101" s="265"/>
      <c r="CM101" s="265"/>
      <c r="CN101" s="265"/>
      <c r="CO101" s="265"/>
      <c r="CP101" s="265"/>
      <c r="CQ101" s="265"/>
      <c r="CR101" s="266"/>
      <c r="CY101" s="261"/>
      <c r="CZ101" s="262"/>
      <c r="DA101" s="262"/>
      <c r="DB101" s="262"/>
      <c r="DC101" s="262"/>
      <c r="DD101" s="262"/>
      <c r="DE101" s="262"/>
      <c r="DF101" s="262"/>
      <c r="DG101" s="262"/>
      <c r="DH101" s="262"/>
      <c r="DI101" s="262"/>
      <c r="DJ101" s="262"/>
      <c r="DK101" s="263"/>
      <c r="DL101" s="264"/>
      <c r="DM101" s="265"/>
      <c r="DN101" s="265"/>
      <c r="DO101" s="265"/>
      <c r="DP101" s="265"/>
      <c r="DQ101" s="265"/>
      <c r="DR101" s="265"/>
      <c r="DS101" s="265"/>
      <c r="DT101" s="265"/>
      <c r="DU101" s="265"/>
      <c r="DV101" s="265"/>
      <c r="DW101" s="265"/>
      <c r="DX101" s="266"/>
      <c r="EE101" s="261"/>
      <c r="EF101" s="262"/>
      <c r="EG101" s="262"/>
      <c r="EH101" s="262"/>
      <c r="EI101" s="262"/>
      <c r="EJ101" s="262"/>
      <c r="EK101" s="262"/>
      <c r="EL101" s="262"/>
      <c r="EM101" s="262"/>
      <c r="EN101" s="262"/>
      <c r="EO101" s="262"/>
      <c r="EP101" s="262"/>
      <c r="EQ101" s="263"/>
      <c r="ER101" s="264"/>
      <c r="ES101" s="265"/>
      <c r="ET101" s="265"/>
      <c r="EU101" s="265"/>
      <c r="EV101" s="265"/>
      <c r="EW101" s="265"/>
      <c r="EX101" s="265"/>
      <c r="EY101" s="265"/>
      <c r="EZ101" s="265"/>
      <c r="FA101" s="265"/>
      <c r="FB101" s="265"/>
      <c r="FC101" s="265"/>
      <c r="FD101" s="266"/>
    </row>
    <row r="110" spans="5:160" x14ac:dyDescent="0.25">
      <c r="E110" s="267"/>
    </row>
    <row r="111" spans="5:160" x14ac:dyDescent="0.25">
      <c r="E111" s="267"/>
    </row>
    <row r="112" spans="5:160" x14ac:dyDescent="0.25">
      <c r="E112" s="267"/>
    </row>
    <row r="113" spans="5:5" x14ac:dyDescent="0.25">
      <c r="E113" s="267"/>
    </row>
    <row r="114" spans="5:5" x14ac:dyDescent="0.25">
      <c r="E114" s="267"/>
    </row>
    <row r="115" spans="5:5" x14ac:dyDescent="0.25">
      <c r="E115" s="267"/>
    </row>
    <row r="116" spans="5:5" x14ac:dyDescent="0.25">
      <c r="E116" s="267"/>
    </row>
    <row r="117" spans="5:5" x14ac:dyDescent="0.25">
      <c r="E117" s="267"/>
    </row>
    <row r="118" spans="5:5" x14ac:dyDescent="0.25">
      <c r="E118" s="267"/>
    </row>
    <row r="119" spans="5:5" x14ac:dyDescent="0.25">
      <c r="E119" s="267"/>
    </row>
    <row r="120" spans="5:5" x14ac:dyDescent="0.25">
      <c r="E120" s="267"/>
    </row>
  </sheetData>
  <sheetProtection algorithmName="SHA-512" hashValue="zzJ0tXnGVMhXhzF8B7jn8nMsEzv7nHikG8WR4mUEIvYBJAGBRm8LgowxQLnta3evZpjfPDIZokTH0p6zjmXBfw==" saltValue="XxZ+bQ03TOeFUMbuTR7X3Q==" spinCount="100000" sheet="1" objects="1" scenarios="1"/>
  <mergeCells count="128">
    <mergeCell ref="I87:J87"/>
    <mergeCell ref="V87:W87"/>
    <mergeCell ref="D51:E51"/>
    <mergeCell ref="C55:E55"/>
    <mergeCell ref="C56:E56"/>
    <mergeCell ref="C58:E58"/>
    <mergeCell ref="C60:E60"/>
    <mergeCell ref="C59:E59"/>
    <mergeCell ref="C53:E53"/>
    <mergeCell ref="I63:J63"/>
    <mergeCell ref="V63:W63"/>
    <mergeCell ref="I51:J51"/>
    <mergeCell ref="V51:W51"/>
    <mergeCell ref="C54:E54"/>
    <mergeCell ref="C57:E57"/>
    <mergeCell ref="C3:E3"/>
    <mergeCell ref="D9:E9"/>
    <mergeCell ref="D27:E27"/>
    <mergeCell ref="D39:E39"/>
    <mergeCell ref="C6:E6"/>
    <mergeCell ref="D14:E14"/>
    <mergeCell ref="D19:E19"/>
    <mergeCell ref="AO51:AP51"/>
    <mergeCell ref="BB51:BC51"/>
    <mergeCell ref="AI14:AK14"/>
    <mergeCell ref="AO39:AP39"/>
    <mergeCell ref="BB39:BC39"/>
    <mergeCell ref="H24:J24"/>
    <mergeCell ref="U24:W24"/>
    <mergeCell ref="V39:W39"/>
    <mergeCell ref="I27:J27"/>
    <mergeCell ref="I39:J39"/>
    <mergeCell ref="V27:W27"/>
    <mergeCell ref="AO87:AP87"/>
    <mergeCell ref="BB87:BC87"/>
    <mergeCell ref="AJ19:AK19"/>
    <mergeCell ref="AO63:AP63"/>
    <mergeCell ref="BB63:BC63"/>
    <mergeCell ref="AI58:AK58"/>
    <mergeCell ref="AI59:AK59"/>
    <mergeCell ref="AI60:AK60"/>
    <mergeCell ref="AI53:AK53"/>
    <mergeCell ref="AI54:AK54"/>
    <mergeCell ref="AI55:AK55"/>
    <mergeCell ref="AI56:AK56"/>
    <mergeCell ref="AI57:AK57"/>
    <mergeCell ref="AJ39:AK39"/>
    <mergeCell ref="AJ51:AK51"/>
    <mergeCell ref="AN24:AP24"/>
    <mergeCell ref="BA24:BC24"/>
    <mergeCell ref="AJ27:AK27"/>
    <mergeCell ref="AO27:AP27"/>
    <mergeCell ref="BB27:BC27"/>
    <mergeCell ref="BP51:BQ51"/>
    <mergeCell ref="BU51:BV51"/>
    <mergeCell ref="CH51:CI51"/>
    <mergeCell ref="BO53:BQ53"/>
    <mergeCell ref="BO58:BQ58"/>
    <mergeCell ref="BO59:BQ59"/>
    <mergeCell ref="BO60:BQ60"/>
    <mergeCell ref="BU63:BV63"/>
    <mergeCell ref="CH63:CI63"/>
    <mergeCell ref="BO54:BQ54"/>
    <mergeCell ref="BO55:BQ55"/>
    <mergeCell ref="BO56:BQ56"/>
    <mergeCell ref="BO57:BQ57"/>
    <mergeCell ref="BO14:BQ14"/>
    <mergeCell ref="BP19:BQ19"/>
    <mergeCell ref="BT24:BV24"/>
    <mergeCell ref="CG24:CI24"/>
    <mergeCell ref="BP27:BQ27"/>
    <mergeCell ref="BU27:BV27"/>
    <mergeCell ref="CH27:CI27"/>
    <mergeCell ref="BP39:BQ39"/>
    <mergeCell ref="BU39:BV39"/>
    <mergeCell ref="CH39:CI39"/>
    <mergeCell ref="CU14:CW14"/>
    <mergeCell ref="CV19:CW19"/>
    <mergeCell ref="CZ24:DB24"/>
    <mergeCell ref="CV51:CW51"/>
    <mergeCell ref="DA51:DB51"/>
    <mergeCell ref="CU57:CW57"/>
    <mergeCell ref="CU58:CW58"/>
    <mergeCell ref="CU59:CW59"/>
    <mergeCell ref="CU60:CW60"/>
    <mergeCell ref="CU53:CW53"/>
    <mergeCell ref="CU54:CW54"/>
    <mergeCell ref="CU55:CW55"/>
    <mergeCell ref="CU56:CW56"/>
    <mergeCell ref="CV27:CW27"/>
    <mergeCell ref="DA27:DB27"/>
    <mergeCell ref="CV39:CW39"/>
    <mergeCell ref="DA39:DB39"/>
    <mergeCell ref="EA58:EC58"/>
    <mergeCell ref="EB51:EC51"/>
    <mergeCell ref="DN39:DO39"/>
    <mergeCell ref="EF24:EH24"/>
    <mergeCell ref="ES24:EU24"/>
    <mergeCell ref="EB27:EC27"/>
    <mergeCell ref="EG27:EH27"/>
    <mergeCell ref="ET27:EU27"/>
    <mergeCell ref="BU87:BV87"/>
    <mergeCell ref="CH87:CI87"/>
    <mergeCell ref="DA63:DB63"/>
    <mergeCell ref="DN63:DO63"/>
    <mergeCell ref="DA87:DB87"/>
    <mergeCell ref="DN87:DO87"/>
    <mergeCell ref="EA59:EC59"/>
    <mergeCell ref="EA60:EC60"/>
    <mergeCell ref="DN51:DO51"/>
    <mergeCell ref="DM24:DO24"/>
    <mergeCell ref="DN27:DO27"/>
    <mergeCell ref="EG63:EH63"/>
    <mergeCell ref="ET63:EU63"/>
    <mergeCell ref="EG87:EH87"/>
    <mergeCell ref="ET87:EU87"/>
    <mergeCell ref="EG39:EH39"/>
    <mergeCell ref="ET51:EU51"/>
    <mergeCell ref="EA14:EC14"/>
    <mergeCell ref="EB19:EC19"/>
    <mergeCell ref="EB39:EC39"/>
    <mergeCell ref="EA53:EC53"/>
    <mergeCell ref="EA54:EC54"/>
    <mergeCell ref="EA55:EC55"/>
    <mergeCell ref="EA56:EC56"/>
    <mergeCell ref="EA57:EC57"/>
    <mergeCell ref="ET39:EU39"/>
    <mergeCell ref="EG51:EH51"/>
  </mergeCells>
  <conditionalFormatting sqref="J54:J60">
    <cfRule type="cellIs" dxfId="77" priority="86" operator="greaterThan">
      <formula>0</formula>
    </cfRule>
    <cfRule type="cellIs" dxfId="76" priority="85" operator="lessThan">
      <formula>0</formula>
    </cfRule>
    <cfRule type="cellIs" dxfId="75" priority="87" operator="equal">
      <formula>0</formula>
    </cfRule>
  </conditionalFormatting>
  <conditionalFormatting sqref="J97:J100">
    <cfRule type="cellIs" dxfId="74" priority="80" operator="equal">
      <formula>0</formula>
    </cfRule>
    <cfRule type="cellIs" dxfId="73" priority="79" operator="greaterThan">
      <formula>0</formula>
    </cfRule>
    <cfRule type="cellIs" dxfId="72" priority="78" operator="lessThan">
      <formula>0</formula>
    </cfRule>
  </conditionalFormatting>
  <conditionalFormatting sqref="W54:W60">
    <cfRule type="cellIs" dxfId="71" priority="84" operator="equal">
      <formula>0</formula>
    </cfRule>
    <cfRule type="cellIs" dxfId="70" priority="83" operator="greaterThan">
      <formula>0</formula>
    </cfRule>
    <cfRule type="cellIs" dxfId="69" priority="82" operator="lessThan">
      <formula>0</formula>
    </cfRule>
    <cfRule type="containsText" dxfId="68" priority="81" stopIfTrue="1" operator="containsText" text="N/a">
      <formula>NOT(ISERROR(SEARCH("N/a",W54)))</formula>
    </cfRule>
  </conditionalFormatting>
  <conditionalFormatting sqref="W97:W100">
    <cfRule type="cellIs" dxfId="67" priority="77" operator="equal">
      <formula>0</formula>
    </cfRule>
    <cfRule type="cellIs" dxfId="66" priority="76" operator="greaterThan">
      <formula>0</formula>
    </cfRule>
    <cfRule type="cellIs" dxfId="65" priority="75" operator="lessThan">
      <formula>0</formula>
    </cfRule>
  </conditionalFormatting>
  <conditionalFormatting sqref="AP54:AP60">
    <cfRule type="cellIs" dxfId="64" priority="61" operator="equal">
      <formula>0</formula>
    </cfRule>
    <cfRule type="cellIs" dxfId="63" priority="60" operator="greaterThan">
      <formula>0</formula>
    </cfRule>
    <cfRule type="cellIs" dxfId="62" priority="59" operator="lessThan">
      <formula>0</formula>
    </cfRule>
  </conditionalFormatting>
  <conditionalFormatting sqref="AP97:AP100">
    <cfRule type="cellIs" dxfId="61" priority="54" operator="equal">
      <formula>0</formula>
    </cfRule>
    <cfRule type="cellIs" dxfId="60" priority="53" operator="greaterThan">
      <formula>0</formula>
    </cfRule>
    <cfRule type="cellIs" dxfId="59" priority="52" operator="lessThan">
      <formula>0</formula>
    </cfRule>
  </conditionalFormatting>
  <conditionalFormatting sqref="BC54:BC60">
    <cfRule type="cellIs" dxfId="58" priority="58" operator="equal">
      <formula>0</formula>
    </cfRule>
    <cfRule type="cellIs" dxfId="57" priority="57" operator="greaterThan">
      <formula>0</formula>
    </cfRule>
    <cfRule type="cellIs" dxfId="56" priority="56" operator="lessThan">
      <formula>0</formula>
    </cfRule>
    <cfRule type="containsText" dxfId="55" priority="55" stopIfTrue="1" operator="containsText" text="N/a">
      <formula>NOT(ISERROR(SEARCH("N/a",BC54)))</formula>
    </cfRule>
  </conditionalFormatting>
  <conditionalFormatting sqref="BC97:BC100">
    <cfRule type="cellIs" dxfId="54" priority="51" operator="equal">
      <formula>0</formula>
    </cfRule>
    <cfRule type="cellIs" dxfId="53" priority="50" operator="greaterThan">
      <formula>0</formula>
    </cfRule>
    <cfRule type="cellIs" dxfId="52" priority="49" operator="lessThan">
      <formula>0</formula>
    </cfRule>
  </conditionalFormatting>
  <conditionalFormatting sqref="BV54:BV60">
    <cfRule type="cellIs" dxfId="51" priority="48" operator="equal">
      <formula>0</formula>
    </cfRule>
    <cfRule type="cellIs" dxfId="50" priority="47" operator="greaterThan">
      <formula>0</formula>
    </cfRule>
    <cfRule type="cellIs" dxfId="49" priority="46" operator="lessThan">
      <formula>0</formula>
    </cfRule>
  </conditionalFormatting>
  <conditionalFormatting sqref="BV97:BV100">
    <cfRule type="cellIs" dxfId="48" priority="39" operator="lessThan">
      <formula>0</formula>
    </cfRule>
    <cfRule type="cellIs" dxfId="47" priority="40" operator="greaterThan">
      <formula>0</formula>
    </cfRule>
    <cfRule type="cellIs" dxfId="46" priority="41" operator="equal">
      <formula>0</formula>
    </cfRule>
  </conditionalFormatting>
  <conditionalFormatting sqref="CI54:CI60">
    <cfRule type="containsText" dxfId="45" priority="42" stopIfTrue="1" operator="containsText" text="N/a">
      <formula>NOT(ISERROR(SEARCH("N/a",CI54)))</formula>
    </cfRule>
    <cfRule type="cellIs" dxfId="44" priority="43" operator="lessThan">
      <formula>0</formula>
    </cfRule>
    <cfRule type="cellIs" dxfId="43" priority="44" operator="greaterThan">
      <formula>0</formula>
    </cfRule>
    <cfRule type="cellIs" dxfId="42" priority="45" operator="equal">
      <formula>0</formula>
    </cfRule>
  </conditionalFormatting>
  <conditionalFormatting sqref="CI97:CI100">
    <cfRule type="cellIs" dxfId="41" priority="8" operator="greaterThan">
      <formula>0</formula>
    </cfRule>
    <cfRule type="cellIs" dxfId="40" priority="7" operator="lessThan">
      <formula>0</formula>
    </cfRule>
    <cfRule type="cellIs" dxfId="39" priority="9" operator="equal">
      <formula>0</formula>
    </cfRule>
  </conditionalFormatting>
  <conditionalFormatting sqref="DB54:DB60">
    <cfRule type="cellIs" dxfId="38" priority="35" operator="equal">
      <formula>0</formula>
    </cfRule>
    <cfRule type="cellIs" dxfId="37" priority="34" operator="greaterThan">
      <formula>0</formula>
    </cfRule>
    <cfRule type="cellIs" dxfId="36" priority="33" operator="lessThan">
      <formula>0</formula>
    </cfRule>
  </conditionalFormatting>
  <conditionalFormatting sqref="DB97:DB100">
    <cfRule type="cellIs" dxfId="35" priority="28" operator="equal">
      <formula>0</formula>
    </cfRule>
    <cfRule type="cellIs" dxfId="34" priority="27" operator="greaterThan">
      <formula>0</formula>
    </cfRule>
    <cfRule type="cellIs" dxfId="33" priority="26" operator="lessThan">
      <formula>0</formula>
    </cfRule>
  </conditionalFormatting>
  <conditionalFormatting sqref="DO54:DO60">
    <cfRule type="cellIs" dxfId="32" priority="32" operator="equal">
      <formula>0</formula>
    </cfRule>
    <cfRule type="cellIs" dxfId="31" priority="31" operator="greaterThan">
      <formula>0</formula>
    </cfRule>
    <cfRule type="cellIs" dxfId="30" priority="30" operator="lessThan">
      <formula>0</formula>
    </cfRule>
    <cfRule type="containsText" dxfId="29" priority="29" stopIfTrue="1" operator="containsText" text="N/a">
      <formula>NOT(ISERROR(SEARCH("N/a",DO54)))</formula>
    </cfRule>
  </conditionalFormatting>
  <conditionalFormatting sqref="DO97:DO100">
    <cfRule type="cellIs" dxfId="28" priority="6" operator="equal">
      <formula>0</formula>
    </cfRule>
    <cfRule type="cellIs" dxfId="27" priority="5" operator="greaterThan">
      <formula>0</formula>
    </cfRule>
    <cfRule type="cellIs" dxfId="26" priority="4" operator="lessThan">
      <formula>0</formula>
    </cfRule>
  </conditionalFormatting>
  <conditionalFormatting sqref="EH54:EH60">
    <cfRule type="cellIs" dxfId="25" priority="22" operator="equal">
      <formula>0</formula>
    </cfRule>
    <cfRule type="cellIs" dxfId="24" priority="21" operator="greaterThan">
      <formula>0</formula>
    </cfRule>
    <cfRule type="cellIs" dxfId="23" priority="20" operator="lessThan">
      <formula>0</formula>
    </cfRule>
  </conditionalFormatting>
  <conditionalFormatting sqref="EH97:EH100">
    <cfRule type="cellIs" dxfId="22" priority="15" operator="equal">
      <formula>0</formula>
    </cfRule>
    <cfRule type="cellIs" dxfId="21" priority="14" operator="greaterThan">
      <formula>0</formula>
    </cfRule>
    <cfRule type="cellIs" dxfId="20" priority="13" operator="lessThan">
      <formula>0</formula>
    </cfRule>
  </conditionalFormatting>
  <conditionalFormatting sqref="EU54:EU60">
    <cfRule type="cellIs" dxfId="19" priority="19" operator="equal">
      <formula>0</formula>
    </cfRule>
    <cfRule type="cellIs" dxfId="18" priority="18" operator="greaterThan">
      <formula>0</formula>
    </cfRule>
    <cfRule type="cellIs" dxfId="17" priority="17" operator="lessThan">
      <formula>0</formula>
    </cfRule>
    <cfRule type="containsText" dxfId="16" priority="16" stopIfTrue="1" operator="containsText" text="N/a">
      <formula>NOT(ISERROR(SEARCH("N/a",EU54)))</formula>
    </cfRule>
  </conditionalFormatting>
  <conditionalFormatting sqref="EU97:EU100">
    <cfRule type="cellIs" dxfId="15" priority="1" operator="lessThan">
      <formula>0</formula>
    </cfRule>
    <cfRule type="cellIs" dxfId="14" priority="3" operator="equal">
      <formula>0</formula>
    </cfRule>
    <cfRule type="cellIs" dxfId="13" priority="2" operator="greaterThan">
      <formula>0</formula>
    </cfRule>
  </conditionalFormatting>
  <dataValidations count="8">
    <dataValidation type="whole" allowBlank="1" showInputMessage="1" showErrorMessage="1" errorTitle="Error: Invalid entry" error="Peat depth cannot be less than 0 cm and must be entered to the nearest centimetre." promptTitle="Peat depth" prompt="Please type the depth of the peat layer at the site in centimetres (cm) and to the nearest centimetre." sqref="E33 AK33 BQ33 CW33 EC33" xr:uid="{00000000-0002-0000-0100-000000000000}">
      <formula1>0</formula1>
      <formula2>1000</formula2>
    </dataValidation>
    <dataValidation type="whole" allowBlank="1" showInputMessage="1" showErrorMessage="1" errorTitle="Error: Invalid entry" error="Please enter a value between the maximum and minimum values shown for this land use category. Values must be entered to the nearest centimetre (cm). If the WTD is &gt; 100 cm, enter 100 cm. _x000a_" promptTitle="Average WTD" prompt="This is the measured average annual water table depth at the site. Please enter a value between the maximum and minimum values specified above for the selected land use category, in centimetres and to the nearest centimetre." sqref="EC44 E44 AK32 AK44 BQ32 BQ44 CW32 CW44 EC32 E32" xr:uid="{00000000-0002-0000-0100-000001000000}">
      <formula1>E30</formula1>
      <formula2>E31</formula2>
    </dataValidation>
    <dataValidation type="decimal" operator="greaterThan" allowBlank="1" showInputMessage="1" showErrorMessage="1" errorTitle="Error: Invlaid entry" error="Please enter either an area greater than zero or leave this cell blank." promptTitle="Area under consideration" prompt="Enter the area in hectares (ha) to which the calculation should be applied. This cell can be left blank if the area is unknown or only the per hectare effects are of interest to the user." sqref="E17:E18 E20" xr:uid="{00000000-0002-0000-0100-000002000000}">
      <formula1>0</formula1>
    </dataValidation>
    <dataValidation type="whole" allowBlank="1" showInputMessage="1" showErrorMessage="1" errorTitle="Error: Invalid entry" error="Please enter a value between 30 and 100 (inclusive)." promptTitle="Time period of interest" prompt="Enter the length in years over which the calculation should be extrapolated. This must be between 30 and 100 years (inclusive)." sqref="E22" xr:uid="{8B04C83D-3F52-4C9C-88E6-8B97964C6878}">
      <formula1>30</formula1>
      <formula2>100</formula2>
    </dataValidation>
    <dataValidation type="decimal" operator="greaterThan" allowBlank="1" showInputMessage="1" showErrorMessage="1" errorTitle="Error: Invalid entry" error="Please enter an area greater than zero." promptTitle="Area under consideration" prompt="Enter the area in hectares (ha) to which the calculation should be applied." sqref="E16 AK21 BQ21 CW21 EC21" xr:uid="{34320B82-F98A-4697-B82C-A72492E04913}">
      <formula1>0</formula1>
    </dataValidation>
    <dataValidation type="whole" allowBlank="1" showInputMessage="1" showErrorMessage="1" errorTitle="Error: Invalid entry" error="Peat depth cannot be less than 0 cm and must be entered to the nearest centimetre." promptTitle="Peat depth" prompt="Please type the depth of the peat layer at the site in centimetres (cm) and to the nearest centimetre. Peat depth need not change with land use but might (e.g. with topsoil removal). If it is unchanged please enter the same value used above." sqref="E45 AK45 BQ45 CW45 EC45" xr:uid="{BD051408-A67A-41CC-A908-756E219D8EF0}">
      <formula1>0</formula1>
      <formula2>1000</formula2>
    </dataValidation>
    <dataValidation allowBlank="1" showErrorMessage="1" promptTitle="GWP values" prompt="Please select which 100-year global warming potential values to use for the calculation of greenhouse gas balances. Currently (02/2023) AR5 is the correct setting for UK inventory use." sqref="E11" xr:uid="{00000000-0002-0000-0100-000004000000}"/>
    <dataValidation type="date" operator="greaterThanOrEqual" allowBlank="1" showInputMessage="1" showErrorMessage="1" errorTitle="Error: Invalid entry" promptTitle="Project start date" prompt="Enter the project start date (DD/MM/YYYY)." sqref="E21" xr:uid="{F306D068-EA43-4114-B6E7-8373A71565B9}">
      <formula1>44927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Error: Invalid entry" error="Please select a land use from the list" promptTitle="Land use" prompt="Please select the original land use of the site." xr:uid="{00000000-0002-0000-0100-000003000000}">
          <x14:formula1>
            <xm:f>'Category Reference Values'!$C$6:$C$11</xm:f>
          </x14:formula1>
          <xm:sqref>E29 AK29 BQ29 CW29 EC29</xm:sqref>
        </x14:dataValidation>
        <x14:dataValidation type="list" allowBlank="1" showInputMessage="1" showErrorMessage="1" errorTitle="Error: Invalid entry" error="Please select a land use from the list" promptTitle="Land use" prompt="Please select the final land use of the site." xr:uid="{9956B79C-E75B-41FE-BE08-7A64BD308939}">
          <x14:formula1>
            <xm:f>'Category Reference Values'!$C$6:$C$11</xm:f>
          </x14:formula1>
          <xm:sqref>E41 AK41 BQ41 CW41 EC41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72DEE-5F84-4F61-AB13-B321B197EEA3}">
  <dimension ref="B1:G31"/>
  <sheetViews>
    <sheetView tabSelected="1" zoomScaleNormal="100" workbookViewId="0">
      <selection activeCell="D8" sqref="D8:F8"/>
    </sheetView>
  </sheetViews>
  <sheetFormatPr defaultColWidth="9" defaultRowHeight="12.75" x14ac:dyDescent="0.2"/>
  <cols>
    <col min="1" max="1" width="9" style="332" customWidth="1"/>
    <col min="2" max="2" width="16.42578125" style="332" customWidth="1"/>
    <col min="3" max="4" width="18.5703125" style="332" customWidth="1"/>
    <col min="5" max="5" width="17.140625" style="332" customWidth="1"/>
    <col min="6" max="6" width="18.140625" style="332" customWidth="1"/>
    <col min="7" max="7" width="16.85546875" style="332" customWidth="1"/>
    <col min="8" max="16384" width="9" style="332"/>
  </cols>
  <sheetData>
    <row r="1" spans="2:7" ht="13.5" thickBot="1" x14ac:dyDescent="0.25"/>
    <row r="2" spans="2:7" ht="13.5" thickBot="1" x14ac:dyDescent="0.25">
      <c r="B2" s="398" t="s">
        <v>92</v>
      </c>
      <c r="C2" s="399"/>
      <c r="D2" s="333"/>
      <c r="E2" s="333"/>
      <c r="F2" s="333"/>
      <c r="G2" s="333"/>
    </row>
    <row r="3" spans="2:7" ht="13.5" thickBot="1" x14ac:dyDescent="0.25">
      <c r="B3" s="333"/>
      <c r="C3" s="333"/>
      <c r="D3" s="333"/>
      <c r="E3" s="333"/>
      <c r="F3" s="333"/>
      <c r="G3" s="333"/>
    </row>
    <row r="4" spans="2:7" ht="14.25" customHeight="1" x14ac:dyDescent="0.2">
      <c r="B4" s="402" t="s">
        <v>93</v>
      </c>
      <c r="C4" s="403"/>
      <c r="D4" s="410"/>
      <c r="E4" s="411"/>
      <c r="F4" s="412"/>
      <c r="G4" s="334"/>
    </row>
    <row r="5" spans="2:7" x14ac:dyDescent="0.2">
      <c r="B5" s="404" t="s">
        <v>94</v>
      </c>
      <c r="C5" s="405"/>
      <c r="D5" s="413"/>
      <c r="E5" s="414"/>
      <c r="F5" s="415"/>
      <c r="G5" s="333"/>
    </row>
    <row r="6" spans="2:7" x14ac:dyDescent="0.2">
      <c r="B6" s="404" t="s">
        <v>95</v>
      </c>
      <c r="C6" s="405"/>
      <c r="D6" s="416"/>
      <c r="E6" s="417"/>
      <c r="F6" s="418"/>
      <c r="G6" s="333"/>
    </row>
    <row r="7" spans="2:7" ht="29.25" customHeight="1" x14ac:dyDescent="0.2">
      <c r="B7" s="406" t="s">
        <v>96</v>
      </c>
      <c r="C7" s="407"/>
      <c r="D7" s="419">
        <f>Calculator!$E$21</f>
        <v>0</v>
      </c>
      <c r="E7" s="420"/>
      <c r="F7" s="421"/>
      <c r="G7" s="333"/>
    </row>
    <row r="8" spans="2:7" x14ac:dyDescent="0.2">
      <c r="B8" s="404" t="s">
        <v>19</v>
      </c>
      <c r="C8" s="405"/>
      <c r="D8" s="422">
        <f>Calculator!$E$22</f>
        <v>50</v>
      </c>
      <c r="E8" s="423"/>
      <c r="F8" s="424"/>
      <c r="G8" s="333"/>
    </row>
    <row r="9" spans="2:7" ht="14.65" customHeight="1" thickBot="1" x14ac:dyDescent="0.25">
      <c r="B9" s="408" t="s">
        <v>97</v>
      </c>
      <c r="C9" s="409"/>
      <c r="D9" s="425"/>
      <c r="E9" s="426"/>
      <c r="F9" s="427"/>
      <c r="G9" s="333"/>
    </row>
    <row r="10" spans="2:7" ht="13.5" thickBot="1" x14ac:dyDescent="0.25">
      <c r="B10" s="335"/>
      <c r="C10" s="336"/>
      <c r="D10" s="333"/>
      <c r="E10" s="333"/>
      <c r="F10" s="333"/>
      <c r="G10" s="333"/>
    </row>
    <row r="11" spans="2:7" ht="13.5" thickBot="1" x14ac:dyDescent="0.25">
      <c r="B11" s="337" t="s">
        <v>98</v>
      </c>
      <c r="C11" s="338" t="s">
        <v>25</v>
      </c>
      <c r="D11" s="339" t="s">
        <v>57</v>
      </c>
      <c r="E11" s="339" t="s">
        <v>99</v>
      </c>
      <c r="F11" s="400" t="s">
        <v>100</v>
      </c>
      <c r="G11" s="401"/>
    </row>
    <row r="12" spans="2:7" x14ac:dyDescent="0.2">
      <c r="B12" s="340" t="s">
        <v>101</v>
      </c>
      <c r="C12" s="341" t="str">
        <f>IF(Calculator!E29="","",Calculator!E29)</f>
        <v>Modified Fen</v>
      </c>
      <c r="D12" s="341" t="str">
        <f>IF(Calculator!E41="","",Calculator!E41)</f>
        <v>Near-natural Fen</v>
      </c>
      <c r="E12" s="341">
        <f>IF(Calculator!E16="","",Calculator!E16)</f>
        <v>10</v>
      </c>
      <c r="F12" s="396" t="e">
        <f>IF(Calculator!W100="N/a","",-1*Calculator!W100)</f>
        <v>#N/A</v>
      </c>
      <c r="G12" s="397"/>
    </row>
    <row r="13" spans="2:7" x14ac:dyDescent="0.2">
      <c r="B13" s="344" t="s">
        <v>102</v>
      </c>
      <c r="C13" s="345" t="str">
        <f>IF(Calculator!AK29="","",Calculator!AK29)</f>
        <v>Cropland</v>
      </c>
      <c r="D13" s="345" t="str">
        <f>IF(Calculator!AK41="","",Calculator!AK41)</f>
        <v>Re-wetted Fen</v>
      </c>
      <c r="E13" s="345">
        <f>IF(Calculator!AK21="","",Calculator!AK21)</f>
        <v>10</v>
      </c>
      <c r="F13" s="396">
        <f>IF(Calculator!BC100="N/a","",-1*Calculator!BC100)</f>
        <v>7546.8417622905645</v>
      </c>
      <c r="G13" s="397"/>
    </row>
    <row r="14" spans="2:7" x14ac:dyDescent="0.2">
      <c r="B14" s="344" t="s">
        <v>103</v>
      </c>
      <c r="C14" s="345" t="str">
        <f>IF(Calculator!BQ29="","",Calculator!BQ29)</f>
        <v/>
      </c>
      <c r="D14" s="345" t="str">
        <f>IF(Calculator!BQ41="","",Calculator!BQ41)</f>
        <v/>
      </c>
      <c r="E14" s="345" t="str">
        <f>IF(Calculator!BQ21="","",Calculator!BQ21)</f>
        <v/>
      </c>
      <c r="F14" s="396" t="str">
        <f>IF(Calculator!CI100="N/a","",-1*Calculator!CI100)</f>
        <v/>
      </c>
      <c r="G14" s="397"/>
    </row>
    <row r="15" spans="2:7" x14ac:dyDescent="0.2">
      <c r="B15" s="344" t="s">
        <v>104</v>
      </c>
      <c r="C15" s="345" t="str">
        <f>IF(Calculator!CW29="","",Calculator!CW29)</f>
        <v/>
      </c>
      <c r="D15" s="345" t="str">
        <f>IF(Calculator!CW41="","",Calculator!CW41)</f>
        <v/>
      </c>
      <c r="E15" s="345" t="str">
        <f>IF(Calculator!CW21="","",Calculator!CW21)</f>
        <v/>
      </c>
      <c r="F15" s="396" t="str">
        <f>IF(Calculator!DO100="N/a","",-1*Calculator!DO100)</f>
        <v/>
      </c>
      <c r="G15" s="397"/>
    </row>
    <row r="16" spans="2:7" ht="13.5" thickBot="1" x14ac:dyDescent="0.25">
      <c r="B16" s="346" t="s">
        <v>105</v>
      </c>
      <c r="C16" s="347" t="str">
        <f>IF(Calculator!EC29="","",Calculator!EC29)</f>
        <v/>
      </c>
      <c r="D16" s="347" t="str">
        <f>IF(Calculator!EC41="","",Calculator!EC41)</f>
        <v/>
      </c>
      <c r="E16" s="347" t="str">
        <f>IF(Calculator!EC21="","",Calculator!EC21)</f>
        <v/>
      </c>
      <c r="F16" s="396" t="str">
        <f>IF(Calculator!EU100="N/a","",-1*Calculator!EU100)</f>
        <v/>
      </c>
      <c r="G16" s="397"/>
    </row>
    <row r="17" spans="2:7" ht="13.5" thickBot="1" x14ac:dyDescent="0.25">
      <c r="B17" s="348"/>
      <c r="C17" s="348"/>
      <c r="D17" s="349" t="s">
        <v>106</v>
      </c>
      <c r="E17" s="350">
        <f>SUM(E12:E16)</f>
        <v>20</v>
      </c>
      <c r="F17" s="394" t="e">
        <f>SUM(F12:G16)</f>
        <v>#N/A</v>
      </c>
      <c r="G17" s="395"/>
    </row>
    <row r="18" spans="2:7" ht="13.5" thickBot="1" x14ac:dyDescent="0.25">
      <c r="B18" s="333"/>
      <c r="C18" s="333"/>
      <c r="D18" s="333"/>
      <c r="E18" s="333"/>
      <c r="F18" s="333"/>
      <c r="G18" s="333"/>
    </row>
    <row r="19" spans="2:7" ht="44.25" customHeight="1" thickBot="1" x14ac:dyDescent="0.25">
      <c r="B19" s="353" t="s">
        <v>107</v>
      </c>
      <c r="C19" s="339" t="s">
        <v>108</v>
      </c>
      <c r="D19" s="354" t="s">
        <v>109</v>
      </c>
      <c r="E19" s="355" t="s">
        <v>110</v>
      </c>
      <c r="F19" s="355" t="s">
        <v>111</v>
      </c>
      <c r="G19" s="356" t="s">
        <v>112</v>
      </c>
    </row>
    <row r="20" spans="2:7" x14ac:dyDescent="0.2">
      <c r="B20" s="357">
        <f>5</f>
        <v>5</v>
      </c>
      <c r="C20" s="358">
        <f>D7</f>
        <v>0</v>
      </c>
      <c r="D20" s="359">
        <f>DATE(YEAR(C20)+B20,MONTH(C20),DAY(C20)-1)</f>
        <v>1826</v>
      </c>
      <c r="E20" s="360" t="e">
        <f>(0.9*'Vintage 1 Calculations'!F10)-(5*$D$9)</f>
        <v>#N/A</v>
      </c>
      <c r="F20" s="360" t="e">
        <f>IF(B20="","",E20*0.2)</f>
        <v>#N/A</v>
      </c>
      <c r="G20" s="361" t="e">
        <f>IF(B20="","",E20-F20)</f>
        <v>#N/A</v>
      </c>
    </row>
    <row r="21" spans="2:7" x14ac:dyDescent="0.2">
      <c r="B21" s="362">
        <f>15</f>
        <v>15</v>
      </c>
      <c r="C21" s="363">
        <f>DATE(YEAR(D20),MONTH(D20),DAY(D20)+1)</f>
        <v>1827</v>
      </c>
      <c r="D21" s="364">
        <f>DATE(YEAR(C21)+(B21-B20),MONTH(C21),DAY(C21)-1)</f>
        <v>5478</v>
      </c>
      <c r="E21" s="365" t="e">
        <f>((0.9*(-1*SUM(Calculator!$W$60,Calculator!$BC$60,Calculator!$CI$60,Calculator!$DO$60,Calculator!$EU$60)*(B21-B20)))-((B21-B20)*$D$9))</f>
        <v>#N/A</v>
      </c>
      <c r="F21" s="365" t="e">
        <f>IF(B21="","",E21*0.2)</f>
        <v>#N/A</v>
      </c>
      <c r="G21" s="366" t="e">
        <f t="shared" ref="G21:G30" si="0">IF(B21="","",E21-F21)</f>
        <v>#N/A</v>
      </c>
    </row>
    <row r="22" spans="2:7" x14ac:dyDescent="0.2">
      <c r="B22" s="362">
        <f>25</f>
        <v>25</v>
      </c>
      <c r="C22" s="363">
        <f t="shared" ref="C22:C23" si="1">DATE(YEAR(D21),MONTH(D21),DAY(D21)+1)</f>
        <v>5479</v>
      </c>
      <c r="D22" s="364">
        <f t="shared" ref="D22:D23" si="2">DATE(YEAR(C22)+(B22-B21),MONTH(C22),DAY(C22)-1)</f>
        <v>9131</v>
      </c>
      <c r="E22" s="365" t="e">
        <f>((0.9*(-1*SUM(Calculator!$W$60,Calculator!$BC$60,Calculator!$CI$60,Calculator!$DO$60,Calculator!$EU$60)*(B22-B21)))-((B22-B21)*$D$9))</f>
        <v>#N/A</v>
      </c>
      <c r="F22" s="365" t="e">
        <f>IF(B22="","",E22*0.2)</f>
        <v>#N/A</v>
      </c>
      <c r="G22" s="366" t="e">
        <f t="shared" si="0"/>
        <v>#N/A</v>
      </c>
    </row>
    <row r="23" spans="2:7" x14ac:dyDescent="0.2">
      <c r="B23" s="362">
        <f>IF($D$8&gt;=35,35,$D$8)</f>
        <v>35</v>
      </c>
      <c r="C23" s="363">
        <f t="shared" si="1"/>
        <v>9132</v>
      </c>
      <c r="D23" s="364">
        <f t="shared" si="2"/>
        <v>12783</v>
      </c>
      <c r="E23" s="365" t="e">
        <f>((0.9*(-1*SUM(Calculator!$W$60,Calculator!$BC$60,Calculator!$CI$60,Calculator!$DO$60,Calculator!$EU$60)*(B23-B22)))-((B23-B22)*$D$9))</f>
        <v>#N/A</v>
      </c>
      <c r="F23" s="365" t="e">
        <f>IF(B23="","",E23*0.2)</f>
        <v>#N/A</v>
      </c>
      <c r="G23" s="366" t="e">
        <f t="shared" si="0"/>
        <v>#N/A</v>
      </c>
    </row>
    <row r="24" spans="2:7" x14ac:dyDescent="0.2">
      <c r="B24" s="362">
        <f>IF($D$8&lt;=35,"",IF($D$8&gt;45,45,$D$8))</f>
        <v>45</v>
      </c>
      <c r="C24" s="363">
        <f>IF(B24="","",DATE(YEAR(D23),MONTH(D23),DAY(D23)+1))</f>
        <v>12784</v>
      </c>
      <c r="D24" s="364">
        <f>IF(B24="","",DATE(YEAR(C24)+(B24-B23),MONTH(C24),DAY(C24)-1))</f>
        <v>16436</v>
      </c>
      <c r="E24" s="365" t="e">
        <f>IF(B24="","",((((0.9*(-1*SUM(Calculator!$W$60,Calculator!$BC$60,Calculator!$CI$60,Calculator!$DO$60,Calculator!$EU$60))))*(B24-B23)))-((B24-B23)*$D$9))</f>
        <v>#N/A</v>
      </c>
      <c r="F24" s="365" t="e">
        <f>IF(B24="","",E24*0.2)</f>
        <v>#N/A</v>
      </c>
      <c r="G24" s="366" t="e">
        <f t="shared" si="0"/>
        <v>#N/A</v>
      </c>
    </row>
    <row r="25" spans="2:7" x14ac:dyDescent="0.2">
      <c r="B25" s="362">
        <f>IF($D$8&lt;=45,"",IF($D$8&gt;55,55,$D$8))</f>
        <v>50</v>
      </c>
      <c r="C25" s="363">
        <f t="shared" ref="C25:C30" si="3">IF(B25="","",DATE(YEAR(D24),MONTH(D24),DAY(D24)+1))</f>
        <v>16437</v>
      </c>
      <c r="D25" s="364">
        <f t="shared" ref="D25:D30" si="4">IF(B25="","",DATE(YEAR(C25)+(B25-B24),MONTH(C25),DAY(C25)-1))</f>
        <v>18262</v>
      </c>
      <c r="E25" s="365" t="e">
        <f>IF(B25="","",((((0.9*(-1*SUM(Calculator!$W$60,Calculator!$BC$60,Calculator!$CI$60,Calculator!$DO$60,Calculator!$EU$60))))*(B25-B24)))-((B25-B24)*$D$9))</f>
        <v>#N/A</v>
      </c>
      <c r="F25" s="365" t="e">
        <f>IF(B25="","",E25*0.2)</f>
        <v>#N/A</v>
      </c>
      <c r="G25" s="366" t="e">
        <f t="shared" si="0"/>
        <v>#N/A</v>
      </c>
    </row>
    <row r="26" spans="2:7" x14ac:dyDescent="0.2">
      <c r="B26" s="362" t="str">
        <f>IF($D$8&lt;=55,"",IF($D$8&gt;65,65,$D$8))</f>
        <v/>
      </c>
      <c r="C26" s="363" t="str">
        <f t="shared" si="3"/>
        <v/>
      </c>
      <c r="D26" s="364" t="str">
        <f t="shared" si="4"/>
        <v/>
      </c>
      <c r="E26" s="365" t="str">
        <f>IF(B26="","",((((0.9*(-1*SUM(Calculator!$W$60,Calculator!$BC$60,Calculator!$CI$60,Calculator!$DO$60,Calculator!$EU$60))))*(B26-B25)))-((B26-B25)*$D$9))</f>
        <v/>
      </c>
      <c r="F26" s="365" t="str">
        <f>IF(B26="","",E26*0.2)</f>
        <v/>
      </c>
      <c r="G26" s="366" t="str">
        <f t="shared" si="0"/>
        <v/>
      </c>
    </row>
    <row r="27" spans="2:7" x14ac:dyDescent="0.2">
      <c r="B27" s="362" t="str">
        <f>IF($D$8&lt;=65,"",IF($D$8&gt;75,75,$D$8))</f>
        <v/>
      </c>
      <c r="C27" s="363" t="str">
        <f t="shared" si="3"/>
        <v/>
      </c>
      <c r="D27" s="364" t="str">
        <f t="shared" si="4"/>
        <v/>
      </c>
      <c r="E27" s="365" t="str">
        <f>IF(B27="","",((((0.9*(-1*SUM(Calculator!$W$60,Calculator!$BC$60,Calculator!$CI$60,Calculator!$DO$60,Calculator!$EU$60))))*(B27-B26)))-((B27-B26)*$D$9))</f>
        <v/>
      </c>
      <c r="F27" s="365" t="str">
        <f>IF(B27="","",E27*0.2)</f>
        <v/>
      </c>
      <c r="G27" s="366" t="str">
        <f t="shared" si="0"/>
        <v/>
      </c>
    </row>
    <row r="28" spans="2:7" x14ac:dyDescent="0.2">
      <c r="B28" s="362" t="str">
        <f>IF($D$8&lt;=75,"",IF($D$8&gt;85,85,$D$8))</f>
        <v/>
      </c>
      <c r="C28" s="363" t="str">
        <f t="shared" si="3"/>
        <v/>
      </c>
      <c r="D28" s="364" t="str">
        <f t="shared" si="4"/>
        <v/>
      </c>
      <c r="E28" s="365" t="str">
        <f>IF(B28="","",((((0.9*(-1*SUM(Calculator!$W$60,Calculator!$BC$60,Calculator!$CI$60,Calculator!$DO$60,Calculator!$EU$60))))*(B28-B27)))-((B28-B27)*$D$9))</f>
        <v/>
      </c>
      <c r="F28" s="365" t="str">
        <f>IF(B28="","",E28*0.2)</f>
        <v/>
      </c>
      <c r="G28" s="366" t="str">
        <f t="shared" si="0"/>
        <v/>
      </c>
    </row>
    <row r="29" spans="2:7" x14ac:dyDescent="0.2">
      <c r="B29" s="362" t="str">
        <f>IF($D$8&lt;=85,"",IF($D$8&gt;95,95,$D$8))</f>
        <v/>
      </c>
      <c r="C29" s="363" t="str">
        <f t="shared" si="3"/>
        <v/>
      </c>
      <c r="D29" s="364" t="str">
        <f t="shared" si="4"/>
        <v/>
      </c>
      <c r="E29" s="365" t="str">
        <f>IF(B29="","",((((0.9*(-1*SUM(Calculator!$W$60,Calculator!$BC$60,Calculator!$CI$60,Calculator!$DO$60,Calculator!$EU$60))))*(B29-B28)))-((B29-B28)*$D$9))</f>
        <v/>
      </c>
      <c r="F29" s="365" t="str">
        <f>IF(B29="","",E29*0.2)</f>
        <v/>
      </c>
      <c r="G29" s="366" t="str">
        <f t="shared" si="0"/>
        <v/>
      </c>
    </row>
    <row r="30" spans="2:7" ht="13.5" thickBot="1" x14ac:dyDescent="0.25">
      <c r="B30" s="367" t="str">
        <f>IF($D$8&lt;=95,"",IF($D$8&gt;100,100,$D$8))</f>
        <v/>
      </c>
      <c r="C30" s="368" t="str">
        <f t="shared" si="3"/>
        <v/>
      </c>
      <c r="D30" s="369" t="str">
        <f t="shared" si="4"/>
        <v/>
      </c>
      <c r="E30" s="365" t="str">
        <f>IF(B30="","",((((0.9*(-1*SUM(Calculator!$W$60,Calculator!$BC$60,Calculator!$CI$60,Calculator!$DO$60,Calculator!$EU$60))))*(B30-B29)))-((B30-B29)*$D$9))</f>
        <v/>
      </c>
      <c r="F30" s="342" t="str">
        <f>IF(B30="","",E30*0.2)</f>
        <v/>
      </c>
      <c r="G30" s="343" t="str">
        <f t="shared" si="0"/>
        <v/>
      </c>
    </row>
    <row r="31" spans="2:7" ht="13.5" thickBot="1" x14ac:dyDescent="0.25">
      <c r="B31" s="348"/>
      <c r="C31" s="348"/>
      <c r="D31" s="370" t="s">
        <v>106</v>
      </c>
      <c r="E31" s="351" t="e">
        <f>SUM(E20:E30)</f>
        <v>#N/A</v>
      </c>
      <c r="F31" s="351" t="e">
        <f t="shared" ref="F31:G31" si="5">SUM(F20:F30)</f>
        <v>#N/A</v>
      </c>
      <c r="G31" s="352" t="e">
        <f t="shared" si="5"/>
        <v>#N/A</v>
      </c>
    </row>
  </sheetData>
  <sheetProtection algorithmName="SHA-512" hashValue="olSRm903UXaFW4evo0iYzNM/vpxdrF11i9MN8pshb2rMmkZIPz+V31Hg7HjVj2BsS7cb62H2uo13/k7G4bgpSg==" saltValue="D27L1uNreoZJ6yenNT18kQ==" spinCount="100000" sheet="1" objects="1" scenarios="1"/>
  <mergeCells count="20">
    <mergeCell ref="D7:F7"/>
    <mergeCell ref="D8:F8"/>
    <mergeCell ref="D9:F9"/>
    <mergeCell ref="F16:G16"/>
    <mergeCell ref="F17:G17"/>
    <mergeCell ref="F15:G15"/>
    <mergeCell ref="B2:C2"/>
    <mergeCell ref="F11:G11"/>
    <mergeCell ref="F12:G12"/>
    <mergeCell ref="F13:G13"/>
    <mergeCell ref="F14:G14"/>
    <mergeCell ref="B4:C4"/>
    <mergeCell ref="B5:C5"/>
    <mergeCell ref="B6:C6"/>
    <mergeCell ref="B7:C7"/>
    <mergeCell ref="B8:C8"/>
    <mergeCell ref="B9:C9"/>
    <mergeCell ref="D4:F4"/>
    <mergeCell ref="D5:F5"/>
    <mergeCell ref="D6:F6"/>
  </mergeCells>
  <conditionalFormatting sqref="D4:D6 D9">
    <cfRule type="cellIs" dxfId="12" priority="1" operator="equal">
      <formula>""</formula>
    </cfRule>
  </conditionalFormatting>
  <dataValidations count="2">
    <dataValidation type="date" operator="greaterThanOrEqual" allowBlank="1" showInputMessage="1" showErrorMessage="1" sqref="D6" xr:uid="{094D56D2-4BFF-4013-B78A-6C15AA2E2CFB}">
      <formula1>44927</formula1>
    </dataValidation>
    <dataValidation type="decimal" operator="greaterThanOrEqual" allowBlank="1" showInputMessage="1" showErrorMessage="1" errorTitle="Error: Invalid entry" error="This value cannot be negative." promptTitle="Leakage" prompt="This is a user-defined leakage value for the entire project area, which should be provided in units of t CO2-e/yr. This cannot be a negative value." sqref="D9:F9" xr:uid="{46C76267-C3AB-4783-8A61-6B477C38C7F2}">
      <formula1>0</formula1>
    </dataValidation>
  </dataValidation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A6554-A25B-4091-B697-C24F170B00AB}">
  <dimension ref="B1:D19"/>
  <sheetViews>
    <sheetView workbookViewId="0">
      <selection activeCell="H15" sqref="H15"/>
    </sheetView>
  </sheetViews>
  <sheetFormatPr defaultRowHeight="15" x14ac:dyDescent="0.25"/>
  <cols>
    <col min="3" max="3" width="27.28515625" customWidth="1"/>
    <col min="4" max="4" width="108.85546875" customWidth="1"/>
  </cols>
  <sheetData>
    <row r="1" spans="2:4" ht="15.75" thickBot="1" x14ac:dyDescent="0.3"/>
    <row r="2" spans="2:4" ht="19.5" thickBot="1" x14ac:dyDescent="0.35">
      <c r="B2" s="428" t="s">
        <v>113</v>
      </c>
      <c r="C2" s="429"/>
      <c r="D2" s="127"/>
    </row>
    <row r="3" spans="2:4" x14ac:dyDescent="0.25">
      <c r="D3" s="108" t="s">
        <v>114</v>
      </c>
    </row>
    <row r="4" spans="2:4" ht="15.75" thickBot="1" x14ac:dyDescent="0.3"/>
    <row r="5" spans="2:4" ht="15.75" thickBot="1" x14ac:dyDescent="0.3">
      <c r="B5" s="118" t="s">
        <v>115</v>
      </c>
      <c r="C5" s="133" t="s">
        <v>116</v>
      </c>
      <c r="D5" s="131"/>
    </row>
    <row r="6" spans="2:4" x14ac:dyDescent="0.25">
      <c r="C6" s="134" t="s">
        <v>117</v>
      </c>
      <c r="D6" s="130"/>
    </row>
    <row r="7" spans="2:4" ht="45" x14ac:dyDescent="0.25">
      <c r="C7" s="134" t="s">
        <v>118</v>
      </c>
      <c r="D7" s="130" t="s">
        <v>119</v>
      </c>
    </row>
    <row r="8" spans="2:4" ht="30.75" thickBot="1" x14ac:dyDescent="0.3">
      <c r="C8" s="135" t="s">
        <v>92</v>
      </c>
      <c r="D8" s="132" t="s">
        <v>120</v>
      </c>
    </row>
    <row r="9" spans="2:4" ht="15.75" thickBot="1" x14ac:dyDescent="0.3">
      <c r="B9" s="143" t="s">
        <v>121</v>
      </c>
      <c r="C9" s="136" t="s">
        <v>113</v>
      </c>
      <c r="D9" s="137"/>
    </row>
    <row r="10" spans="2:4" x14ac:dyDescent="0.25">
      <c r="C10" s="138" t="s">
        <v>122</v>
      </c>
      <c r="D10" s="139" t="s">
        <v>123</v>
      </c>
    </row>
    <row r="11" spans="2:4" x14ac:dyDescent="0.25">
      <c r="C11" s="138" t="s">
        <v>124</v>
      </c>
      <c r="D11" s="139" t="s">
        <v>125</v>
      </c>
    </row>
    <row r="12" spans="2:4" x14ac:dyDescent="0.25">
      <c r="C12" s="138" t="s">
        <v>126</v>
      </c>
      <c r="D12" s="139" t="s">
        <v>127</v>
      </c>
    </row>
    <row r="13" spans="2:4" x14ac:dyDescent="0.25">
      <c r="C13" s="138" t="s">
        <v>128</v>
      </c>
      <c r="D13" s="139" t="s">
        <v>129</v>
      </c>
    </row>
    <row r="14" spans="2:4" ht="30" x14ac:dyDescent="0.25">
      <c r="C14" s="138" t="s">
        <v>130</v>
      </c>
      <c r="D14" s="139" t="s">
        <v>131</v>
      </c>
    </row>
    <row r="15" spans="2:4" ht="30" x14ac:dyDescent="0.25">
      <c r="C15" s="138" t="s">
        <v>132</v>
      </c>
      <c r="D15" s="139" t="s">
        <v>133</v>
      </c>
    </row>
    <row r="16" spans="2:4" ht="30" x14ac:dyDescent="0.25">
      <c r="C16" s="138" t="s">
        <v>134</v>
      </c>
      <c r="D16" s="139" t="s">
        <v>135</v>
      </c>
    </row>
    <row r="17" spans="3:4" ht="130.15" customHeight="1" x14ac:dyDescent="0.25">
      <c r="C17" s="140" t="s">
        <v>136</v>
      </c>
      <c r="D17" s="139" t="s">
        <v>137</v>
      </c>
    </row>
    <row r="18" spans="3:4" x14ac:dyDescent="0.25">
      <c r="C18" s="138" t="s">
        <v>138</v>
      </c>
      <c r="D18" s="139" t="s">
        <v>139</v>
      </c>
    </row>
    <row r="19" spans="3:4" ht="15.75" thickBot="1" x14ac:dyDescent="0.3">
      <c r="C19" s="141" t="s">
        <v>140</v>
      </c>
      <c r="D19" s="142" t="s">
        <v>139</v>
      </c>
    </row>
  </sheetData>
  <mergeCells count="1">
    <mergeCell ref="B2:C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05248-B121-48F4-9183-DED96ED08D61}">
  <dimension ref="B1:E10"/>
  <sheetViews>
    <sheetView workbookViewId="0">
      <selection activeCell="E17" sqref="E17"/>
    </sheetView>
  </sheetViews>
  <sheetFormatPr defaultRowHeight="15" x14ac:dyDescent="0.25"/>
  <cols>
    <col min="3" max="3" width="9" customWidth="1"/>
    <col min="4" max="4" width="11.85546875" bestFit="1" customWidth="1"/>
    <col min="5" max="5" width="156.5703125" bestFit="1" customWidth="1"/>
  </cols>
  <sheetData>
    <row r="1" spans="2:5" ht="15.75" thickBot="1" x14ac:dyDescent="0.3"/>
    <row r="2" spans="2:5" ht="19.5" thickBot="1" x14ac:dyDescent="0.35">
      <c r="B2" s="428" t="s">
        <v>141</v>
      </c>
      <c r="C2" s="430"/>
      <c r="D2" s="429"/>
    </row>
    <row r="3" spans="2:5" ht="19.5" thickBot="1" x14ac:dyDescent="0.35">
      <c r="B3" s="109"/>
      <c r="D3" s="108"/>
      <c r="E3" s="108"/>
    </row>
    <row r="4" spans="2:5" ht="15.75" thickBot="1" x14ac:dyDescent="0.3">
      <c r="B4" s="1"/>
      <c r="D4" s="128" t="s">
        <v>142</v>
      </c>
      <c r="E4" s="144" t="s">
        <v>143</v>
      </c>
    </row>
    <row r="5" spans="2:5" ht="15.75" thickBot="1" x14ac:dyDescent="0.3"/>
    <row r="6" spans="2:5" ht="15.75" thickBot="1" x14ac:dyDescent="0.3">
      <c r="B6" s="117" t="s">
        <v>144</v>
      </c>
      <c r="C6" s="55" t="s">
        <v>145</v>
      </c>
      <c r="D6" s="55" t="s">
        <v>146</v>
      </c>
      <c r="E6" s="54" t="s">
        <v>147</v>
      </c>
    </row>
    <row r="7" spans="2:5" ht="30.75" thickBot="1" x14ac:dyDescent="0.3">
      <c r="B7" s="431" t="s">
        <v>148</v>
      </c>
      <c r="C7" s="146">
        <v>44593</v>
      </c>
      <c r="D7" s="46" t="s">
        <v>149</v>
      </c>
      <c r="E7" s="129" t="s">
        <v>150</v>
      </c>
    </row>
    <row r="8" spans="2:5" ht="15.75" thickBot="1" x14ac:dyDescent="0.3">
      <c r="B8" s="432"/>
      <c r="C8" s="147">
        <v>44621</v>
      </c>
      <c r="D8" s="48" t="s">
        <v>151</v>
      </c>
      <c r="E8" s="148" t="s">
        <v>152</v>
      </c>
    </row>
    <row r="9" spans="2:5" ht="75.75" thickBot="1" x14ac:dyDescent="0.3">
      <c r="B9" s="117" t="s">
        <v>153</v>
      </c>
      <c r="C9" s="147">
        <v>44986</v>
      </c>
      <c r="D9" s="48" t="s">
        <v>154</v>
      </c>
      <c r="E9" s="145" t="s">
        <v>155</v>
      </c>
    </row>
    <row r="10" spans="2:5" x14ac:dyDescent="0.25">
      <c r="E10" s="110"/>
    </row>
  </sheetData>
  <mergeCells count="2">
    <mergeCell ref="B2:D2"/>
    <mergeCell ref="B7:B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R43"/>
  <sheetViews>
    <sheetView workbookViewId="0">
      <selection activeCell="E40" sqref="E40"/>
    </sheetView>
  </sheetViews>
  <sheetFormatPr defaultRowHeight="15" x14ac:dyDescent="0.25"/>
  <cols>
    <col min="2" max="2" width="28.85546875" customWidth="1"/>
    <col min="3" max="3" width="10.140625" customWidth="1"/>
    <col min="4" max="4" width="13.5703125" customWidth="1"/>
    <col min="5" max="5" width="13.140625" customWidth="1"/>
    <col min="6" max="6" width="13.42578125" customWidth="1"/>
    <col min="7" max="7" width="14.42578125" customWidth="1"/>
    <col min="8" max="8" width="17.28515625" customWidth="1"/>
    <col min="12" max="12" width="9.140625" style="57"/>
    <col min="14" max="14" width="14" customWidth="1"/>
    <col min="17" max="17" width="12.28515625" customWidth="1"/>
  </cols>
  <sheetData>
    <row r="3" spans="2:18" ht="15.75" thickBot="1" x14ac:dyDescent="0.3"/>
    <row r="4" spans="2:18" ht="21.75" thickBot="1" x14ac:dyDescent="0.4">
      <c r="B4" s="442" t="s">
        <v>156</v>
      </c>
      <c r="C4" s="443"/>
      <c r="D4" s="443"/>
      <c r="E4" s="443"/>
      <c r="F4" s="443"/>
      <c r="G4" s="443"/>
      <c r="H4" s="443"/>
      <c r="I4" s="444"/>
      <c r="J4" s="58"/>
      <c r="M4" s="436" t="s">
        <v>157</v>
      </c>
      <c r="N4" s="437"/>
      <c r="O4" s="437"/>
      <c r="P4" s="437"/>
      <c r="Q4" s="437"/>
      <c r="R4" s="438"/>
    </row>
    <row r="5" spans="2:18" ht="15.75" thickBot="1" x14ac:dyDescent="0.3"/>
    <row r="6" spans="2:18" ht="18.75" customHeight="1" thickBot="1" x14ac:dyDescent="0.3">
      <c r="B6" s="439" t="s">
        <v>31</v>
      </c>
      <c r="C6" s="7" t="s">
        <v>158</v>
      </c>
      <c r="D6" s="7" t="s">
        <v>159</v>
      </c>
      <c r="E6" s="441" t="s">
        <v>160</v>
      </c>
      <c r="F6" s="441"/>
      <c r="G6" s="7" t="s">
        <v>159</v>
      </c>
      <c r="H6" s="7" t="s">
        <v>161</v>
      </c>
      <c r="I6" s="439" t="s">
        <v>162</v>
      </c>
      <c r="J6" s="1"/>
      <c r="M6" s="433" t="s">
        <v>163</v>
      </c>
      <c r="N6" s="434"/>
      <c r="O6" s="434"/>
      <c r="P6" s="434"/>
      <c r="Q6" s="435"/>
    </row>
    <row r="7" spans="2:18" ht="15.75" thickBot="1" x14ac:dyDescent="0.3">
      <c r="B7" s="440"/>
      <c r="C7" s="48" t="s">
        <v>164</v>
      </c>
      <c r="D7" s="48" t="s">
        <v>165</v>
      </c>
      <c r="E7" s="47" t="s">
        <v>166</v>
      </c>
      <c r="F7" s="48" t="s">
        <v>167</v>
      </c>
      <c r="G7" s="48" t="s">
        <v>165</v>
      </c>
      <c r="H7" s="48" t="s">
        <v>166</v>
      </c>
      <c r="I7" s="440"/>
    </row>
    <row r="8" spans="2:18" x14ac:dyDescent="0.25">
      <c r="B8" s="44" t="s">
        <v>168</v>
      </c>
      <c r="C8" s="99">
        <v>-0.96545454545454534</v>
      </c>
      <c r="D8" s="59">
        <f>(C8+1.73)/0.1341</f>
        <v>5.7013083858721449</v>
      </c>
      <c r="E8" s="101">
        <v>113.07</v>
      </c>
      <c r="F8" s="61">
        <f>E8/1000*12/16</f>
        <v>8.4802499999999989E-2</v>
      </c>
      <c r="G8" s="59">
        <f>((LOG(F8*2.994)/LOG(0.5))*6.31)-5</f>
        <v>7.4791303349023597</v>
      </c>
      <c r="H8" s="64">
        <f t="shared" ref="H8:H20" si="0">(0.334*0.5^((D8+5)/6.31))*1000*16/12</f>
        <v>137.45478910907505</v>
      </c>
      <c r="I8" s="71">
        <f>E8/H8</f>
        <v>0.82259774819686426</v>
      </c>
      <c r="J8" s="2"/>
      <c r="M8" t="s">
        <v>169</v>
      </c>
      <c r="N8" t="s">
        <v>164</v>
      </c>
      <c r="O8" t="s">
        <v>170</v>
      </c>
    </row>
    <row r="9" spans="2:18" ht="17.25" x14ac:dyDescent="0.25">
      <c r="B9" s="44" t="s">
        <v>171</v>
      </c>
      <c r="C9" s="99">
        <v>-1.38</v>
      </c>
      <c r="D9" s="59">
        <f>(C9+1.73)/0.1341</f>
        <v>2.6099925428784498</v>
      </c>
      <c r="E9" s="101">
        <v>143.25</v>
      </c>
      <c r="F9" s="62">
        <f t="shared" ref="F9:F20" si="1">E9/1000*12/16</f>
        <v>0.10743749999999999</v>
      </c>
      <c r="G9" s="59">
        <f t="shared" ref="G9:G20" si="2">((LOG(F9*2.994)/LOG(0.5))*6.31)-5</f>
        <v>5.3254078352003642</v>
      </c>
      <c r="H9" s="64">
        <f t="shared" si="0"/>
        <v>193.03528691913539</v>
      </c>
      <c r="I9" s="72">
        <f t="shared" ref="I9:I14" si="3">E9/H9</f>
        <v>0.74209229973589752</v>
      </c>
      <c r="J9" s="2"/>
      <c r="M9" t="s">
        <v>172</v>
      </c>
      <c r="N9" t="s">
        <v>164</v>
      </c>
      <c r="O9" t="s">
        <v>173</v>
      </c>
    </row>
    <row r="10" spans="2:18" ht="15.75" thickBot="1" x14ac:dyDescent="0.3">
      <c r="B10" s="44" t="s">
        <v>174</v>
      </c>
      <c r="C10" s="99">
        <v>-0.15818181818181815</v>
      </c>
      <c r="D10" s="59">
        <f>(C10+1.73)/0.1341</f>
        <v>11.721239238017761</v>
      </c>
      <c r="E10" s="101">
        <v>111.11</v>
      </c>
      <c r="F10" s="62">
        <f t="shared" si="1"/>
        <v>8.3332500000000004E-2</v>
      </c>
      <c r="G10" s="59">
        <f t="shared" si="2"/>
        <v>7.6383160770519076</v>
      </c>
      <c r="H10" s="64">
        <f t="shared" si="0"/>
        <v>70.952573955262537</v>
      </c>
      <c r="I10" s="72">
        <f t="shared" si="3"/>
        <v>1.5659756060443668</v>
      </c>
      <c r="J10" s="2"/>
    </row>
    <row r="11" spans="2:18" ht="15.75" thickBot="1" x14ac:dyDescent="0.3">
      <c r="B11" s="44" t="s">
        <v>175</v>
      </c>
      <c r="C11" s="99">
        <v>-0.18818181818181814</v>
      </c>
      <c r="D11" s="59">
        <f>(C11+1.73)/0.1341</f>
        <v>11.497525591485322</v>
      </c>
      <c r="E11" s="101">
        <v>111.44</v>
      </c>
      <c r="F11" s="62">
        <f>E11/1000*12/16</f>
        <v>8.3580000000000002E-2</v>
      </c>
      <c r="G11" s="59">
        <f>((LOG(F11*2.994)/LOG(0.5))*6.31)-5</f>
        <v>7.6113187633210391</v>
      </c>
      <c r="H11" s="64">
        <f t="shared" si="0"/>
        <v>72.717814908909588</v>
      </c>
      <c r="I11" s="72">
        <f>E11/H11</f>
        <v>1.5324992938744926</v>
      </c>
      <c r="J11" s="2"/>
      <c r="M11" s="433" t="s">
        <v>176</v>
      </c>
      <c r="N11" s="434"/>
      <c r="O11" s="434"/>
      <c r="P11" s="434"/>
      <c r="Q11" s="435"/>
    </row>
    <row r="12" spans="2:18" x14ac:dyDescent="0.25">
      <c r="B12" s="44" t="s">
        <v>177</v>
      </c>
      <c r="C12" s="99">
        <v>8.1818181818181807E-3</v>
      </c>
      <c r="D12" s="59">
        <f t="shared" ref="D12:D20" si="4">(C12+1.73)/0.1341</f>
        <v>12.961833096061286</v>
      </c>
      <c r="E12" s="101">
        <v>61.75</v>
      </c>
      <c r="F12" s="62">
        <f t="shared" si="1"/>
        <v>4.63125E-2</v>
      </c>
      <c r="G12" s="59">
        <f t="shared" si="2"/>
        <v>12.985899888357114</v>
      </c>
      <c r="H12" s="64">
        <f t="shared" si="0"/>
        <v>61.913217608210893</v>
      </c>
      <c r="I12" s="72">
        <f t="shared" si="3"/>
        <v>0.99736376795591952</v>
      </c>
      <c r="J12" s="2"/>
    </row>
    <row r="13" spans="2:18" x14ac:dyDescent="0.25">
      <c r="B13" s="44" t="s">
        <v>178</v>
      </c>
      <c r="C13" s="104">
        <v>1.4836363636363636</v>
      </c>
      <c r="D13" s="59">
        <f t="shared" si="4"/>
        <v>23.964476984611213</v>
      </c>
      <c r="E13" s="103">
        <v>42.72</v>
      </c>
      <c r="F13" s="62">
        <f t="shared" si="1"/>
        <v>3.2039999999999999E-2</v>
      </c>
      <c r="G13" s="59">
        <f t="shared" si="2"/>
        <v>16.339838348186479</v>
      </c>
      <c r="H13" s="64">
        <f t="shared" si="0"/>
        <v>18.487674678882208</v>
      </c>
      <c r="I13" s="72">
        <f>I10</f>
        <v>1.5659756060443668</v>
      </c>
      <c r="J13" s="2" t="s">
        <v>179</v>
      </c>
      <c r="M13" t="s">
        <v>180</v>
      </c>
    </row>
    <row r="14" spans="2:18" x14ac:dyDescent="0.25">
      <c r="B14" s="44" t="s">
        <v>181</v>
      </c>
      <c r="C14" s="115">
        <v>-1.38</v>
      </c>
      <c r="D14" s="59">
        <f t="shared" si="4"/>
        <v>2.6099925428784498</v>
      </c>
      <c r="E14" s="116">
        <f>E9</f>
        <v>143.25</v>
      </c>
      <c r="F14" s="62">
        <f t="shared" si="1"/>
        <v>0.10743749999999999</v>
      </c>
      <c r="G14" s="59">
        <f t="shared" si="2"/>
        <v>5.3254078352003642</v>
      </c>
      <c r="H14" s="64">
        <f t="shared" si="0"/>
        <v>193.03528691913539</v>
      </c>
      <c r="I14" s="72">
        <f t="shared" si="3"/>
        <v>0.74209229973589752</v>
      </c>
      <c r="J14" s="105" t="s">
        <v>182</v>
      </c>
      <c r="M14" t="s">
        <v>183</v>
      </c>
    </row>
    <row r="15" spans="2:18" x14ac:dyDescent="0.25">
      <c r="B15" s="44" t="s">
        <v>184</v>
      </c>
      <c r="C15" s="99">
        <v>4.17</v>
      </c>
      <c r="D15" s="59">
        <f>(C15+1.73)/0.1341</f>
        <v>43.997017151379573</v>
      </c>
      <c r="E15" s="101">
        <v>2.5</v>
      </c>
      <c r="F15" s="62">
        <f>E15/1000*12/16</f>
        <v>1.8749999999999999E-3</v>
      </c>
      <c r="G15" s="59">
        <f>((LOG(F15*2.994)/LOG(0.5))*6.31)-5</f>
        <v>42.178730840917176</v>
      </c>
      <c r="H15" s="64">
        <f t="shared" si="0"/>
        <v>2.0473572224088676</v>
      </c>
      <c r="I15" s="72">
        <f>E15/H15</f>
        <v>1.2210863705839103</v>
      </c>
      <c r="J15" s="105"/>
    </row>
    <row r="16" spans="2:18" ht="15.75" thickBot="1" x14ac:dyDescent="0.3">
      <c r="B16" s="44" t="s">
        <v>185</v>
      </c>
      <c r="C16" s="99">
        <v>2.8009090909090908</v>
      </c>
      <c r="D16" s="59">
        <f>(C16+1.73)/0.1341</f>
        <v>33.787539827808288</v>
      </c>
      <c r="E16" s="103">
        <v>42.72</v>
      </c>
      <c r="F16" s="62">
        <f>E16/1000*12/16</f>
        <v>3.2039999999999999E-2</v>
      </c>
      <c r="G16" s="59">
        <f>((LOG(F16*2.994)/LOG(0.5))*6.31)-5</f>
        <v>16.339838348186479</v>
      </c>
      <c r="H16" s="64">
        <f t="shared" si="0"/>
        <v>6.2842761282827189</v>
      </c>
      <c r="I16" s="72">
        <f>I10</f>
        <v>1.5659756060443668</v>
      </c>
      <c r="J16" s="105" t="s">
        <v>186</v>
      </c>
    </row>
    <row r="17" spans="2:17" ht="15.75" thickBot="1" x14ac:dyDescent="0.3">
      <c r="B17" s="44" t="s">
        <v>187</v>
      </c>
      <c r="C17" s="99">
        <v>1.4836363636363636</v>
      </c>
      <c r="D17" s="59">
        <f t="shared" si="4"/>
        <v>23.964476984611213</v>
      </c>
      <c r="E17" s="101">
        <v>42.72</v>
      </c>
      <c r="F17" s="62">
        <f t="shared" si="1"/>
        <v>3.2039999999999999E-2</v>
      </c>
      <c r="G17" s="59">
        <f t="shared" si="2"/>
        <v>16.339838348186479</v>
      </c>
      <c r="H17" s="64">
        <f t="shared" si="0"/>
        <v>18.487674678882208</v>
      </c>
      <c r="I17" s="72">
        <f>I10</f>
        <v>1.5659756060443668</v>
      </c>
      <c r="J17" s="105" t="s">
        <v>188</v>
      </c>
      <c r="M17" s="433" t="s">
        <v>189</v>
      </c>
      <c r="N17" s="434"/>
      <c r="O17" s="434"/>
      <c r="P17" s="434"/>
      <c r="Q17" s="435"/>
    </row>
    <row r="18" spans="2:17" x14ac:dyDescent="0.25">
      <c r="B18" s="44" t="s">
        <v>190</v>
      </c>
      <c r="C18" s="99">
        <v>3.2127272727272724</v>
      </c>
      <c r="D18" s="59">
        <f t="shared" si="4"/>
        <v>36.858518066571754</v>
      </c>
      <c r="E18" s="101">
        <v>35.909999999999997</v>
      </c>
      <c r="F18" s="62">
        <f t="shared" si="1"/>
        <v>2.6932499999999998E-2</v>
      </c>
      <c r="G18" s="59">
        <f t="shared" si="2"/>
        <v>17.920657370470952</v>
      </c>
      <c r="H18" s="64">
        <f t="shared" si="0"/>
        <v>4.4848577445377096</v>
      </c>
      <c r="I18" s="72">
        <f>I11</f>
        <v>1.5324992938744926</v>
      </c>
      <c r="J18" s="105" t="s">
        <v>191</v>
      </c>
    </row>
    <row r="19" spans="2:17" x14ac:dyDescent="0.25">
      <c r="B19" s="44" t="s">
        <v>192</v>
      </c>
      <c r="C19" s="99">
        <v>4.0554545454545448</v>
      </c>
      <c r="D19" s="59">
        <f t="shared" si="4"/>
        <v>43.142837773710255</v>
      </c>
      <c r="E19" s="101">
        <v>29.03</v>
      </c>
      <c r="F19" s="62">
        <f t="shared" si="1"/>
        <v>2.17725E-2</v>
      </c>
      <c r="G19" s="59">
        <f t="shared" si="2"/>
        <v>19.856824591820711</v>
      </c>
      <c r="H19" s="64">
        <f t="shared" si="0"/>
        <v>2.2487635927577752</v>
      </c>
      <c r="I19" s="72">
        <f>I11</f>
        <v>1.5324992938744926</v>
      </c>
      <c r="J19" s="105" t="s">
        <v>191</v>
      </c>
      <c r="M19" t="s">
        <v>169</v>
      </c>
      <c r="N19" t="s">
        <v>193</v>
      </c>
      <c r="O19" t="s">
        <v>194</v>
      </c>
    </row>
    <row r="20" spans="2:17" ht="15.75" thickBot="1" x14ac:dyDescent="0.3">
      <c r="B20" s="49" t="s">
        <v>195</v>
      </c>
      <c r="C20" s="100">
        <v>7.379999999999999</v>
      </c>
      <c r="D20" s="60">
        <f t="shared" si="4"/>
        <v>67.934377330350486</v>
      </c>
      <c r="E20" s="102">
        <v>1.96</v>
      </c>
      <c r="F20" s="63">
        <f t="shared" si="1"/>
        <v>1.47E-3</v>
      </c>
      <c r="G20" s="60">
        <f t="shared" si="2"/>
        <v>44.394010560767981</v>
      </c>
      <c r="H20" s="65">
        <f t="shared" si="0"/>
        <v>0.14764489582362902</v>
      </c>
      <c r="I20" s="73">
        <f>I11</f>
        <v>1.5324992938744926</v>
      </c>
      <c r="J20" s="105" t="s">
        <v>191</v>
      </c>
      <c r="M20" t="s">
        <v>196</v>
      </c>
      <c r="N20" t="s">
        <v>166</v>
      </c>
      <c r="O20" t="s">
        <v>197</v>
      </c>
    </row>
    <row r="23" spans="2:17" x14ac:dyDescent="0.25">
      <c r="B23" s="77" t="s">
        <v>198</v>
      </c>
    </row>
    <row r="24" spans="2:17" x14ac:dyDescent="0.25">
      <c r="B24" s="114" t="s">
        <v>199</v>
      </c>
    </row>
    <row r="25" spans="2:17" x14ac:dyDescent="0.25">
      <c r="B25" s="40" t="s">
        <v>200</v>
      </c>
    </row>
    <row r="26" spans="2:17" x14ac:dyDescent="0.25">
      <c r="B26" s="40" t="s">
        <v>201</v>
      </c>
    </row>
    <row r="27" spans="2:17" x14ac:dyDescent="0.25">
      <c r="B27" s="106" t="s">
        <v>202</v>
      </c>
    </row>
    <row r="31" spans="2:17" x14ac:dyDescent="0.25">
      <c r="D31" s="2"/>
    </row>
    <row r="32" spans="2:17" x14ac:dyDescent="0.25">
      <c r="D32" s="2"/>
    </row>
    <row r="33" spans="4:4" x14ac:dyDescent="0.25">
      <c r="D33" s="2"/>
    </row>
    <row r="34" spans="4:4" x14ac:dyDescent="0.25">
      <c r="D34" s="2"/>
    </row>
    <row r="35" spans="4:4" x14ac:dyDescent="0.25">
      <c r="D35" s="2"/>
    </row>
    <row r="36" spans="4:4" x14ac:dyDescent="0.25">
      <c r="D36" s="2"/>
    </row>
    <row r="37" spans="4:4" x14ac:dyDescent="0.25">
      <c r="D37" s="2"/>
    </row>
    <row r="38" spans="4:4" x14ac:dyDescent="0.25">
      <c r="D38" s="2"/>
    </row>
    <row r="39" spans="4:4" x14ac:dyDescent="0.25">
      <c r="D39" s="2"/>
    </row>
    <row r="40" spans="4:4" x14ac:dyDescent="0.25">
      <c r="D40" s="2"/>
    </row>
    <row r="41" spans="4:4" x14ac:dyDescent="0.25">
      <c r="D41" s="2"/>
    </row>
    <row r="42" spans="4:4" x14ac:dyDescent="0.25">
      <c r="D42" s="2"/>
    </row>
    <row r="43" spans="4:4" x14ac:dyDescent="0.25">
      <c r="D43" s="2"/>
    </row>
  </sheetData>
  <mergeCells count="8">
    <mergeCell ref="M17:Q17"/>
    <mergeCell ref="M11:Q11"/>
    <mergeCell ref="M4:R4"/>
    <mergeCell ref="B6:B7"/>
    <mergeCell ref="E6:F6"/>
    <mergeCell ref="B4:I4"/>
    <mergeCell ref="I6:I7"/>
    <mergeCell ref="M6:Q6"/>
  </mergeCells>
  <conditionalFormatting sqref="I8:I20">
    <cfRule type="cellIs" dxfId="11" priority="1" operator="lessThan">
      <formula>0.25</formula>
    </cfRule>
    <cfRule type="cellIs" dxfId="10" priority="2" operator="greaterThan">
      <formula>5</formula>
    </cfRule>
    <cfRule type="cellIs" dxfId="9" priority="3" operator="lessThan">
      <formula>0.5</formula>
    </cfRule>
    <cfRule type="cellIs" dxfId="8" priority="4" operator="greaterThan">
      <formula>2</formula>
    </cfRule>
  </conditionalFormatting>
  <pageMargins left="0.7" right="0.7" top="0.75" bottom="0.75" header="0.3" footer="0.3"/>
  <pageSetup paperSize="9"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F16"/>
  <sheetViews>
    <sheetView workbookViewId="0">
      <selection activeCell="F25" sqref="F25"/>
    </sheetView>
  </sheetViews>
  <sheetFormatPr defaultRowHeight="15" x14ac:dyDescent="0.25"/>
  <cols>
    <col min="3" max="3" width="27.28515625" bestFit="1" customWidth="1"/>
    <col min="6" max="6" width="21.42578125" bestFit="1" customWidth="1"/>
  </cols>
  <sheetData>
    <row r="1" spans="3:6" ht="15.75" thickBot="1" x14ac:dyDescent="0.3"/>
    <row r="2" spans="3:6" ht="21.75" thickBot="1" x14ac:dyDescent="0.4">
      <c r="C2" s="442" t="s">
        <v>203</v>
      </c>
      <c r="D2" s="443"/>
      <c r="E2" s="443"/>
      <c r="F2" s="444"/>
    </row>
    <row r="3" spans="3:6" ht="15.75" thickBot="1" x14ac:dyDescent="0.3"/>
    <row r="4" spans="3:6" ht="15.75" thickBot="1" x14ac:dyDescent="0.3">
      <c r="C4" s="447" t="s">
        <v>31</v>
      </c>
      <c r="D4" s="445" t="s">
        <v>204</v>
      </c>
      <c r="E4" s="446"/>
      <c r="F4" s="447" t="s">
        <v>205</v>
      </c>
    </row>
    <row r="5" spans="3:6" ht="15.75" thickBot="1" x14ac:dyDescent="0.3">
      <c r="C5" s="448"/>
      <c r="D5" s="56" t="s">
        <v>206</v>
      </c>
      <c r="E5" s="55" t="s">
        <v>207</v>
      </c>
      <c r="F5" s="448"/>
    </row>
    <row r="6" spans="3:6" x14ac:dyDescent="0.25">
      <c r="C6" s="44" t="s">
        <v>171</v>
      </c>
      <c r="D6">
        <v>-5</v>
      </c>
      <c r="E6" s="44">
        <v>13</v>
      </c>
      <c r="F6" s="111">
        <v>0</v>
      </c>
    </row>
    <row r="7" spans="3:6" x14ac:dyDescent="0.25">
      <c r="C7" s="44" t="s">
        <v>175</v>
      </c>
      <c r="D7">
        <v>-5</v>
      </c>
      <c r="E7" s="44">
        <v>20</v>
      </c>
      <c r="F7" s="111">
        <v>0</v>
      </c>
    </row>
    <row r="8" spans="3:6" x14ac:dyDescent="0.25">
      <c r="C8" s="44" t="s">
        <v>181</v>
      </c>
      <c r="D8">
        <v>5</v>
      </c>
      <c r="E8" s="44">
        <v>50</v>
      </c>
      <c r="F8" s="111">
        <f>F6</f>
        <v>0</v>
      </c>
    </row>
    <row r="9" spans="3:6" x14ac:dyDescent="0.25">
      <c r="C9" s="44" t="s">
        <v>190</v>
      </c>
      <c r="D9">
        <v>20</v>
      </c>
      <c r="E9" s="44">
        <v>100</v>
      </c>
      <c r="F9" s="44">
        <v>1.82</v>
      </c>
    </row>
    <row r="10" spans="3:6" x14ac:dyDescent="0.25">
      <c r="C10" s="44" t="s">
        <v>192</v>
      </c>
      <c r="D10">
        <v>30</v>
      </c>
      <c r="E10" s="44">
        <v>100</v>
      </c>
      <c r="F10" s="44">
        <v>7.39</v>
      </c>
    </row>
    <row r="11" spans="3:6" ht="15.75" thickBot="1" x14ac:dyDescent="0.3">
      <c r="C11" s="49" t="s">
        <v>195</v>
      </c>
      <c r="D11" s="45">
        <v>30</v>
      </c>
      <c r="E11" s="49">
        <v>100</v>
      </c>
      <c r="F11" s="49">
        <v>16.28</v>
      </c>
    </row>
    <row r="14" spans="3:6" x14ac:dyDescent="0.25">
      <c r="C14" s="77" t="s">
        <v>198</v>
      </c>
    </row>
    <row r="15" spans="3:6" x14ac:dyDescent="0.25">
      <c r="C15" s="112" t="s">
        <v>208</v>
      </c>
      <c r="D15" s="113"/>
    </row>
    <row r="16" spans="3:6" x14ac:dyDescent="0.25">
      <c r="C16" s="40"/>
    </row>
  </sheetData>
  <mergeCells count="4">
    <mergeCell ref="D4:E4"/>
    <mergeCell ref="F4:F5"/>
    <mergeCell ref="C4:C5"/>
    <mergeCell ref="C2:F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2:G12"/>
  <sheetViews>
    <sheetView topLeftCell="B1" workbookViewId="0">
      <selection activeCell="J21" sqref="J21"/>
    </sheetView>
  </sheetViews>
  <sheetFormatPr defaultRowHeight="15" x14ac:dyDescent="0.25"/>
  <cols>
    <col min="3" max="3" width="9.7109375" customWidth="1"/>
    <col min="4" max="4" width="13.42578125" customWidth="1"/>
    <col min="5" max="5" width="16.5703125" customWidth="1"/>
  </cols>
  <sheetData>
    <row r="2" spans="3:7" ht="15.75" thickBot="1" x14ac:dyDescent="0.3"/>
    <row r="3" spans="3:7" ht="21.75" thickBot="1" x14ac:dyDescent="0.4">
      <c r="C3" s="442" t="s">
        <v>209</v>
      </c>
      <c r="D3" s="443"/>
      <c r="E3" s="443"/>
      <c r="F3" s="443"/>
      <c r="G3" s="444"/>
    </row>
    <row r="4" spans="3:7" ht="15.75" thickBot="1" x14ac:dyDescent="0.3">
      <c r="C4" s="1"/>
    </row>
    <row r="5" spans="3:7" ht="15.75" thickBot="1" x14ac:dyDescent="0.3">
      <c r="C5" s="55" t="s">
        <v>210</v>
      </c>
      <c r="D5" s="53" t="s">
        <v>43</v>
      </c>
      <c r="E5" s="54" t="s">
        <v>49</v>
      </c>
    </row>
    <row r="6" spans="3:7" x14ac:dyDescent="0.25">
      <c r="C6" s="44" t="s">
        <v>211</v>
      </c>
      <c r="D6">
        <v>25</v>
      </c>
      <c r="E6" s="52">
        <v>298</v>
      </c>
    </row>
    <row r="7" spans="3:7" x14ac:dyDescent="0.25">
      <c r="C7" s="44" t="s">
        <v>6</v>
      </c>
      <c r="D7">
        <v>28</v>
      </c>
      <c r="E7" s="52">
        <v>265</v>
      </c>
    </row>
    <row r="8" spans="3:7" ht="15.75" thickBot="1" x14ac:dyDescent="0.3">
      <c r="C8" s="49" t="s">
        <v>212</v>
      </c>
      <c r="D8" s="45">
        <v>27.2</v>
      </c>
      <c r="E8" s="51">
        <v>273</v>
      </c>
    </row>
    <row r="11" spans="3:7" x14ac:dyDescent="0.25">
      <c r="C11" s="77" t="s">
        <v>198</v>
      </c>
    </row>
    <row r="12" spans="3:7" x14ac:dyDescent="0.25">
      <c r="C12" s="40" t="s">
        <v>213</v>
      </c>
    </row>
  </sheetData>
  <mergeCells count="1">
    <mergeCell ref="C3:G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9247f1a-2fd5-43c8-b0d1-17afc01ad14b">
      <Terms xmlns="http://schemas.microsoft.com/office/infopath/2007/PartnerControls"/>
    </lcf76f155ced4ddcb4097134ff3c332f>
    <TaxCatchAll xmlns="1fc53f18-e099-4058-93f1-eb830005650c" xsi:nil="true"/>
    <MigrationWizIdPermissions xmlns="69247f1a-2fd5-43c8-b0d1-17afc01ad14b" xsi:nil="true"/>
    <MigrationWizIdVersion xmlns="69247f1a-2fd5-43c8-b0d1-17afc01ad14b" xsi:nil="true"/>
    <MigrationWizId xmlns="69247f1a-2fd5-43c8-b0d1-17afc01ad14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673593F9805294FADE74491767DD5C3" ma:contentTypeVersion="20" ma:contentTypeDescription="Create a new document." ma:contentTypeScope="" ma:versionID="b57719d56dcf0ecf8658329f17c53187">
  <xsd:schema xmlns:xsd="http://www.w3.org/2001/XMLSchema" xmlns:xs="http://www.w3.org/2001/XMLSchema" xmlns:p="http://schemas.microsoft.com/office/2006/metadata/properties" xmlns:ns2="69247f1a-2fd5-43c8-b0d1-17afc01ad14b" xmlns:ns3="1fc53f18-e099-4058-93f1-eb830005650c" targetNamespace="http://schemas.microsoft.com/office/2006/metadata/properties" ma:root="true" ma:fieldsID="1bac2a478c0ff35433e684b0ef491c62" ns2:_="" ns3:_="">
    <xsd:import namespace="69247f1a-2fd5-43c8-b0d1-17afc01ad14b"/>
    <xsd:import namespace="1fc53f18-e099-4058-93f1-eb830005650c"/>
    <xsd:element name="properties">
      <xsd:complexType>
        <xsd:sequence>
          <xsd:element name="documentManagement">
            <xsd:complexType>
              <xsd:all>
                <xsd:element ref="ns2:MigrationWizId" minOccurs="0"/>
                <xsd:element ref="ns2:MigrationWizIdPermissions" minOccurs="0"/>
                <xsd:element ref="ns2:MigrationWizIdVersion" minOccurs="0"/>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247f1a-2fd5-43c8-b0d1-17afc01ad14b"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398a662a-7e28-481f-b2c3-7a8fdc2b8061"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c53f18-e099-4058-93f1-eb83000565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5894fe57-acd8-40a9-a1db-b6c880427c58}" ma:internalName="TaxCatchAll" ma:showField="CatchAllData" ma:web="1fc53f18-e099-4058-93f1-eb830005650c">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FF2C88-4D87-4191-BAB3-B5BBDAB79394}">
  <ds:schemaRefs>
    <ds:schemaRef ds:uri="http://schemas.microsoft.com/office/2006/metadata/properties"/>
    <ds:schemaRef ds:uri="http://schemas.microsoft.com/office/infopath/2007/PartnerControls"/>
    <ds:schemaRef ds:uri="69247f1a-2fd5-43c8-b0d1-17afc01ad14b"/>
    <ds:schemaRef ds:uri="1fc53f18-e099-4058-93f1-eb830005650c"/>
  </ds:schemaRefs>
</ds:datastoreItem>
</file>

<file path=customXml/itemProps2.xml><?xml version="1.0" encoding="utf-8"?>
<ds:datastoreItem xmlns:ds="http://schemas.openxmlformats.org/officeDocument/2006/customXml" ds:itemID="{55061F44-1A63-4CB5-9DB3-0150C0BF906E}">
  <ds:schemaRefs>
    <ds:schemaRef ds:uri="http://schemas.microsoft.com/sharepoint/v3/contenttype/forms"/>
  </ds:schemaRefs>
</ds:datastoreItem>
</file>

<file path=customXml/itemProps3.xml><?xml version="1.0" encoding="utf-8"?>
<ds:datastoreItem xmlns:ds="http://schemas.openxmlformats.org/officeDocument/2006/customXml" ds:itemID="{C7FC3D88-A51F-4623-B13E-71DC4D236E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247f1a-2fd5-43c8-b0d1-17afc01ad14b"/>
    <ds:schemaRef ds:uri="1fc53f18-e099-4058-93f1-eb83000565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Welcome</vt:lpstr>
      <vt:lpstr>User Guide</vt:lpstr>
      <vt:lpstr>Calculator</vt:lpstr>
      <vt:lpstr>Project Summary</vt:lpstr>
      <vt:lpstr>Contents</vt:lpstr>
      <vt:lpstr>Version Control</vt:lpstr>
      <vt:lpstr>EF Adjustment Table</vt:lpstr>
      <vt:lpstr>Category Reference Values</vt:lpstr>
      <vt:lpstr>GWP reference values</vt:lpstr>
      <vt:lpstr>Transition Period Calculations</vt:lpstr>
      <vt:lpstr>Vintage 1 Calculations</vt:lpstr>
      <vt:lpstr>Model Summary</vt:lpstr>
      <vt:lpstr>Near-natural Bog</vt:lpstr>
      <vt:lpstr>Near-natural Fen</vt:lpstr>
      <vt:lpstr>Re-wetted Bog</vt:lpstr>
      <vt:lpstr>Re-wetted Fen</vt:lpstr>
      <vt:lpstr>Modified Bog (Vegetated)</vt:lpstr>
      <vt:lpstr>Modified Bog (Eroding area)</vt:lpstr>
      <vt:lpstr>Modified Fen</vt:lpstr>
      <vt:lpstr>Woodland</vt:lpstr>
      <vt:lpstr>Extracted (Domestic)</vt:lpstr>
      <vt:lpstr>Extracted (Industrial)</vt:lpstr>
      <vt:lpstr>Grassland (Extensive)</vt:lpstr>
      <vt:lpstr>Grassland - (Intensive)</vt:lpstr>
      <vt:lpstr>Cropland</vt:lpstr>
      <vt:lpstr>Table 3.1</vt:lpstr>
      <vt:lpstr>Table 3.2</vt:lpstr>
    </vt:vector>
  </TitlesOfParts>
  <Manager/>
  <Company>Centre for Ecology and Hydrology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Evans</dc:creator>
  <cp:keywords/>
  <dc:description/>
  <cp:lastModifiedBy>Renee Kerkvliet-Hermans</cp:lastModifiedBy>
  <cp:revision/>
  <dcterms:created xsi:type="dcterms:W3CDTF">2022-02-22T08:33:06Z</dcterms:created>
  <dcterms:modified xsi:type="dcterms:W3CDTF">2024-10-29T14:41:52Z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0x0101007673593F9805294FADE74491767DD5C3</vt:lpwstr>
  </property>
  <property fmtid="{D5CDD505-2E9C-101B-9397-08002B2CF9AE}" pid="3" name="MediaServiceImageTags">
    <vt:lpwstr/>
  </property>
</Properties>
</file>